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报价资料\报价模版\"/>
    </mc:Choice>
  </mc:AlternateContent>
  <bookViews>
    <workbookView xWindow="0" yWindow="0" windowWidth="21345" windowHeight="10710" firstSheet="11" activeTab="17"/>
  </bookViews>
  <sheets>
    <sheet name="包1" sheetId="31" r:id="rId1"/>
    <sheet name="35KV高压" sheetId="2" r:id="rId2"/>
    <sheet name="高压电容柜" sheetId="9" r:id="rId3"/>
    <sheet name="高压开闭所" sheetId="3" r:id="rId4"/>
    <sheet name="共箱式充气柜" sheetId="4" r:id="rId5"/>
    <sheet name="预装式变电站" sheetId="7" r:id="rId6"/>
    <sheet name="10KV高压" sheetId="22" r:id="rId7"/>
    <sheet name="配套设备" sheetId="32" r:id="rId8"/>
    <sheet name="电缆分支箱" sheetId="26" r:id="rId9"/>
    <sheet name="组合式变压器" sheetId="6" r:id="rId10"/>
    <sheet name="变压器" sheetId="8" r:id="rId11"/>
    <sheet name="0.4KV低压" sheetId="10" r:id="rId12"/>
    <sheet name="配电箱" sheetId="25" r:id="rId13"/>
    <sheet name="设备报价表" sheetId="12" r:id="rId14"/>
    <sheet name="箱变报价表" sheetId="13" r:id="rId15"/>
    <sheet name="国网箱变报价表" sheetId="18" r:id="rId16"/>
    <sheet name="国网报价表" sheetId="17" r:id="rId17"/>
    <sheet name="元件库" sheetId="19" r:id="rId18"/>
  </sheets>
  <definedNames>
    <definedName name="_xlnm._FilterDatabase" localSheetId="11" hidden="1">'0.4KV低压'!$A$1:$O$17</definedName>
    <definedName name="_xlnm._FilterDatabase" localSheetId="6" hidden="1">'10KV高压'!$A$1:$N$151</definedName>
    <definedName name="_xlnm._FilterDatabase" localSheetId="1" hidden="1">'35KV高压'!$A$1:$M$88</definedName>
    <definedName name="_xlnm._FilterDatabase" localSheetId="0" hidden="1">包1!$A$4:$Q$25</definedName>
    <definedName name="_xlnm._FilterDatabase" localSheetId="10" hidden="1">变压器!$A$1:$M$13</definedName>
    <definedName name="_xlnm._FilterDatabase" localSheetId="8" hidden="1">电缆分支箱!$A$1:$M$6</definedName>
    <definedName name="_xlnm._FilterDatabase" localSheetId="2" hidden="1">高压电容柜!$A$1:$M$29</definedName>
    <definedName name="_xlnm._FilterDatabase" localSheetId="3" hidden="1">高压开闭所!$A$1:$N$92</definedName>
    <definedName name="_xlnm._FilterDatabase" localSheetId="4" hidden="1">共箱式充气柜!$A$1:$M$19</definedName>
    <definedName name="_xlnm._FilterDatabase" localSheetId="12" hidden="1">配电箱!$A$1:$N$16</definedName>
    <definedName name="_xlnm._FilterDatabase" localSheetId="7" hidden="1">配套设备!$A$1:$M$25</definedName>
    <definedName name="_xlnm._FilterDatabase" localSheetId="13" hidden="1">设备报价表!$A$7:$I$41</definedName>
    <definedName name="_xlnm._FilterDatabase" localSheetId="5" hidden="1">预装式变电站!$A$1:$N$170</definedName>
    <definedName name="_xlnm._FilterDatabase" localSheetId="17" hidden="1">元件库!$A$1:$M$1</definedName>
    <definedName name="_xlnm._FilterDatabase" localSheetId="9" hidden="1">组合式变压器!$A$1:$N$48</definedName>
    <definedName name="_xlnm.Print_Titles" localSheetId="11">'0.4KV低压'!$1:$1</definedName>
    <definedName name="_xlnm.Print_Titles" localSheetId="6">'10KV高压'!$1:$1</definedName>
    <definedName name="_xlnm.Print_Titles" localSheetId="1">'35KV高压'!$1:$1</definedName>
    <definedName name="_xlnm.Print_Titles" localSheetId="10">变压器!$1:$1</definedName>
    <definedName name="_xlnm.Print_Titles" localSheetId="8">电缆分支箱!$1:$1</definedName>
    <definedName name="_xlnm.Print_Titles" localSheetId="2">高压电容柜!$1:$1</definedName>
    <definedName name="_xlnm.Print_Titles" localSheetId="3">高压开闭所!$1:$1</definedName>
    <definedName name="_xlnm.Print_Titles" localSheetId="4">共箱式充气柜!$1:$1</definedName>
    <definedName name="_xlnm.Print_Titles" localSheetId="12">配电箱!$1:$1</definedName>
    <definedName name="_xlnm.Print_Titles" localSheetId="7">配套设备!$1:$1</definedName>
    <definedName name="_xlnm.Print_Titles" localSheetId="5">预装式变电站!$1:$1</definedName>
    <definedName name="_xlnm.Print_Titles" localSheetId="9">组合式变压器!$1:$1</definedName>
  </definedNames>
  <calcPr calcId="162913"/>
</workbook>
</file>

<file path=xl/calcChain.xml><?xml version="1.0" encoding="utf-8"?>
<calcChain xmlns="http://schemas.openxmlformats.org/spreadsheetml/2006/main">
  <c r="N3110" i="19" l="1"/>
  <c r="N3109" i="19"/>
  <c r="N3108" i="19"/>
  <c r="N3107" i="19"/>
  <c r="N3106" i="19"/>
  <c r="N3105" i="19"/>
  <c r="N3104" i="19"/>
  <c r="N3103" i="19"/>
  <c r="N3102" i="19"/>
  <c r="N3101" i="19"/>
  <c r="N3100" i="19"/>
  <c r="N3099" i="19"/>
  <c r="L2829" i="19"/>
  <c r="L2828" i="19"/>
  <c r="L2827" i="19"/>
  <c r="L2826" i="19"/>
  <c r="L2825" i="19"/>
  <c r="L2824" i="19"/>
  <c r="L2823" i="19"/>
  <c r="L2822" i="19"/>
  <c r="L2821" i="19"/>
  <c r="L2820" i="19"/>
  <c r="L2819" i="19"/>
  <c r="L2818" i="19"/>
  <c r="L2817" i="19"/>
  <c r="L2816" i="19"/>
  <c r="L2815" i="19"/>
  <c r="L2814" i="19"/>
  <c r="L2813" i="19"/>
  <c r="L2812" i="19"/>
  <c r="L2811" i="19"/>
  <c r="L2810" i="19"/>
  <c r="L2809" i="19"/>
  <c r="L2808" i="19"/>
  <c r="L2807" i="19"/>
  <c r="L2806" i="19"/>
  <c r="L2805" i="19"/>
  <c r="L2804" i="19"/>
  <c r="L2803" i="19"/>
  <c r="L2802" i="19"/>
  <c r="L2801" i="19"/>
  <c r="L2800" i="19"/>
  <c r="L2799" i="19"/>
  <c r="L2798" i="19"/>
  <c r="L2797" i="19"/>
  <c r="L2796" i="19"/>
  <c r="L2795" i="19"/>
  <c r="L2794" i="19"/>
  <c r="L2793" i="19"/>
  <c r="L2792" i="19"/>
  <c r="L2791" i="19"/>
  <c r="L2790" i="19"/>
  <c r="L2789" i="19"/>
  <c r="L2788" i="19"/>
  <c r="L2787" i="19"/>
  <c r="L2786" i="19"/>
  <c r="L2785" i="19"/>
  <c r="L2784" i="19"/>
  <c r="L2783" i="19"/>
  <c r="L2782" i="19"/>
  <c r="L2781" i="19"/>
  <c r="L2780" i="19"/>
  <c r="L2779" i="19"/>
  <c r="L2778" i="19"/>
  <c r="L2777" i="19"/>
  <c r="L2776" i="19"/>
  <c r="L2562" i="19"/>
  <c r="L2561" i="19"/>
  <c r="L2560" i="19"/>
  <c r="L2559" i="19"/>
  <c r="L2558" i="19"/>
  <c r="L2557" i="19"/>
  <c r="L2556" i="19"/>
  <c r="L2555" i="19"/>
  <c r="L2554" i="19"/>
  <c r="L2553" i="19"/>
  <c r="L2552" i="19"/>
  <c r="L2551" i="19"/>
  <c r="L2550" i="19"/>
  <c r="L2549" i="19"/>
  <c r="L2548" i="19"/>
  <c r="L2547" i="19"/>
  <c r="L2546" i="19"/>
  <c r="L2545" i="19"/>
  <c r="L2544" i="19"/>
  <c r="L2543" i="19"/>
  <c r="L2542" i="19"/>
  <c r="L2541" i="19"/>
  <c r="L2540" i="19"/>
  <c r="L2539" i="19"/>
  <c r="L2538" i="19"/>
  <c r="L2537" i="19"/>
  <c r="L2536" i="19"/>
  <c r="L2535" i="19"/>
  <c r="L2534" i="19"/>
  <c r="L2533" i="19"/>
  <c r="L2532" i="19"/>
  <c r="L2531" i="19"/>
  <c r="L2530" i="19"/>
  <c r="L2529" i="19"/>
  <c r="L2527" i="19"/>
  <c r="L2526" i="19"/>
  <c r="L2525" i="19"/>
  <c r="L2524" i="19"/>
  <c r="L2523" i="19"/>
  <c r="L2522" i="19"/>
  <c r="L2521" i="19"/>
  <c r="L2520" i="19"/>
  <c r="L2519" i="19"/>
  <c r="L2518" i="19"/>
  <c r="L2517" i="19"/>
  <c r="L2516" i="19"/>
  <c r="L2515" i="19"/>
  <c r="L2514" i="19"/>
  <c r="L2513" i="19"/>
  <c r="L2512" i="19"/>
  <c r="L2511" i="19"/>
  <c r="L2510" i="19"/>
  <c r="L2509" i="19"/>
  <c r="L2508" i="19"/>
  <c r="L2507" i="19"/>
  <c r="L2506" i="19"/>
  <c r="L2505" i="19"/>
  <c r="L2504" i="19"/>
  <c r="L2503" i="19"/>
  <c r="L2502" i="19"/>
  <c r="L2501" i="19"/>
  <c r="L2500" i="19"/>
  <c r="L2499" i="19"/>
  <c r="L2498" i="19"/>
  <c r="L2497" i="19"/>
  <c r="L2496" i="19"/>
  <c r="L2495" i="19"/>
  <c r="L2494" i="19"/>
  <c r="L2493" i="19"/>
  <c r="L2492" i="19"/>
  <c r="L2491" i="19"/>
  <c r="L2490" i="19"/>
  <c r="L2489" i="19"/>
  <c r="L2488" i="19"/>
  <c r="L2487" i="19"/>
  <c r="L2486" i="19"/>
  <c r="L2485" i="19"/>
  <c r="L2484" i="19"/>
  <c r="L2483" i="19"/>
  <c r="L2482" i="19"/>
  <c r="L2481" i="19"/>
  <c r="L2480" i="19"/>
  <c r="L2479" i="19"/>
  <c r="L2478" i="19"/>
  <c r="L2477" i="19"/>
  <c r="L2476" i="19"/>
  <c r="L2475" i="19"/>
  <c r="L2474" i="19"/>
  <c r="L2473" i="19"/>
  <c r="L2472" i="19"/>
  <c r="L2471" i="19"/>
  <c r="L2470" i="19"/>
  <c r="L2469" i="19"/>
  <c r="L2468" i="19"/>
  <c r="L2467" i="19"/>
  <c r="L2466" i="19"/>
  <c r="L2465" i="19"/>
  <c r="L2464" i="19"/>
  <c r="L2462" i="19"/>
  <c r="L2461" i="19"/>
  <c r="L2458" i="19"/>
  <c r="L2457" i="19"/>
  <c r="L2454" i="19"/>
  <c r="L2453" i="19"/>
  <c r="L2450" i="19"/>
  <c r="L2449" i="19"/>
  <c r="L2446" i="19"/>
  <c r="L2445" i="19"/>
  <c r="L2442" i="19"/>
  <c r="L2441" i="19"/>
  <c r="L2438" i="19"/>
  <c r="L2437" i="19"/>
  <c r="L2434" i="19"/>
  <c r="L2433" i="19"/>
  <c r="L2430" i="19"/>
  <c r="L2429" i="19"/>
  <c r="L2426" i="19"/>
  <c r="L2425" i="19"/>
  <c r="L2422" i="19"/>
  <c r="L2421" i="19"/>
  <c r="L2418" i="19"/>
  <c r="L2417" i="19"/>
  <c r="L2414" i="19"/>
  <c r="L2413" i="19"/>
  <c r="L2410" i="19"/>
  <c r="L2409" i="19"/>
  <c r="L2406" i="19"/>
  <c r="L2405" i="19"/>
  <c r="L2402" i="19"/>
  <c r="L2401" i="19"/>
  <c r="L2398" i="19"/>
  <c r="L2397" i="19"/>
  <c r="A2397" i="19"/>
  <c r="L2460" i="19" s="1"/>
  <c r="O2270" i="19"/>
  <c r="O2269" i="19"/>
  <c r="O2268" i="19"/>
  <c r="O2267" i="19"/>
  <c r="O2266" i="19"/>
  <c r="O2265" i="19"/>
  <c r="O2264" i="19"/>
  <c r="O2263" i="19"/>
  <c r="O2262" i="19"/>
  <c r="O2261" i="19"/>
  <c r="O2260" i="19"/>
  <c r="O2259" i="19"/>
  <c r="O2258" i="19"/>
  <c r="O2257" i="19"/>
  <c r="L717" i="19"/>
  <c r="L716" i="19"/>
  <c r="P98" i="19"/>
  <c r="L98" i="19"/>
  <c r="P97" i="19"/>
  <c r="L97" i="19" s="1"/>
  <c r="P96" i="19"/>
  <c r="L96" i="19"/>
  <c r="P95" i="19"/>
  <c r="L95" i="19" s="1"/>
  <c r="P94" i="19"/>
  <c r="L94" i="19"/>
  <c r="P93" i="19"/>
  <c r="L93" i="19" s="1"/>
  <c r="P92" i="19"/>
  <c r="L92" i="19"/>
  <c r="P91" i="19"/>
  <c r="L91" i="19" s="1"/>
  <c r="P90" i="19"/>
  <c r="L90" i="19"/>
  <c r="P89" i="19"/>
  <c r="L89" i="19" s="1"/>
  <c r="P88" i="19"/>
  <c r="L88" i="19"/>
  <c r="P87" i="19"/>
  <c r="L87" i="19" s="1"/>
  <c r="P86" i="19"/>
  <c r="L86" i="19"/>
  <c r="P85" i="19"/>
  <c r="L85" i="19" s="1"/>
  <c r="P84" i="19"/>
  <c r="L84" i="19"/>
  <c r="P83" i="19"/>
  <c r="L83" i="19" s="1"/>
  <c r="P82" i="19"/>
  <c r="L82" i="19"/>
  <c r="P81" i="19"/>
  <c r="L81" i="19" s="1"/>
  <c r="P80" i="19"/>
  <c r="L80" i="19"/>
  <c r="P79" i="19"/>
  <c r="L79" i="19" s="1"/>
  <c r="P78" i="19"/>
  <c r="L78" i="19"/>
  <c r="P77" i="19"/>
  <c r="L77" i="19" s="1"/>
  <c r="P76" i="19"/>
  <c r="L76" i="19"/>
  <c r="P75" i="19"/>
  <c r="L75" i="19" s="1"/>
  <c r="P74" i="19"/>
  <c r="L74" i="19"/>
  <c r="P73" i="19"/>
  <c r="L73" i="19" s="1"/>
  <c r="P72" i="19"/>
  <c r="L72" i="19"/>
  <c r="P71" i="19"/>
  <c r="L71" i="19" s="1"/>
  <c r="P70" i="19"/>
  <c r="L70" i="19"/>
  <c r="P69" i="19"/>
  <c r="L69" i="19" s="1"/>
  <c r="P68" i="19"/>
  <c r="L68" i="19"/>
  <c r="P67" i="19"/>
  <c r="L67" i="19" s="1"/>
  <c r="P66" i="19"/>
  <c r="L66" i="19"/>
  <c r="P65" i="19"/>
  <c r="L65" i="19" s="1"/>
  <c r="P64" i="19"/>
  <c r="L64" i="19"/>
  <c r="P63" i="19"/>
  <c r="L63" i="19" s="1"/>
  <c r="P62" i="19"/>
  <c r="L62" i="19"/>
  <c r="P61" i="19"/>
  <c r="L61" i="19" s="1"/>
  <c r="P60" i="19"/>
  <c r="L60" i="19"/>
  <c r="P59" i="19"/>
  <c r="L59" i="19" s="1"/>
  <c r="P58" i="19"/>
  <c r="L58" i="19"/>
  <c r="P57" i="19"/>
  <c r="L57" i="19" s="1"/>
  <c r="P56" i="19"/>
  <c r="L56" i="19"/>
  <c r="P55" i="19"/>
  <c r="L55" i="19" s="1"/>
  <c r="P54" i="19"/>
  <c r="L54" i="19"/>
  <c r="P53" i="19"/>
  <c r="L53" i="19" s="1"/>
  <c r="P52" i="19"/>
  <c r="L52" i="19"/>
  <c r="P51" i="19"/>
  <c r="L51" i="19" s="1"/>
  <c r="P50" i="19"/>
  <c r="L50" i="19"/>
  <c r="P49" i="19"/>
  <c r="L49" i="19" s="1"/>
  <c r="P48" i="19"/>
  <c r="L48" i="19"/>
  <c r="P47" i="19"/>
  <c r="L47" i="19" s="1"/>
  <c r="P46" i="19"/>
  <c r="L46" i="19"/>
  <c r="P45" i="19"/>
  <c r="L45" i="19" s="1"/>
  <c r="P44" i="19"/>
  <c r="L44" i="19"/>
  <c r="P43" i="19"/>
  <c r="L43" i="19" s="1"/>
  <c r="P42" i="19"/>
  <c r="L42" i="19"/>
  <c r="P41" i="19"/>
  <c r="L41" i="19" s="1"/>
  <c r="P40" i="19"/>
  <c r="L40" i="19"/>
  <c r="P39" i="19"/>
  <c r="L39" i="19" s="1"/>
  <c r="P38" i="19"/>
  <c r="L38" i="19"/>
  <c r="P37" i="19"/>
  <c r="L37" i="19" s="1"/>
  <c r="P36" i="19"/>
  <c r="L36" i="19"/>
  <c r="P35" i="19"/>
  <c r="L35" i="19" s="1"/>
  <c r="P34" i="19"/>
  <c r="L34" i="19"/>
  <c r="P33" i="19"/>
  <c r="L33" i="19" s="1"/>
  <c r="P32" i="19"/>
  <c r="L32" i="19"/>
  <c r="P31" i="19"/>
  <c r="L31" i="19" s="1"/>
  <c r="L2399" i="19" l="1"/>
  <c r="L2403" i="19"/>
  <c r="L2407" i="19"/>
  <c r="L2411" i="19"/>
  <c r="L2415" i="19"/>
  <c r="L2419" i="19"/>
  <c r="L2423" i="19"/>
  <c r="L2427" i="19"/>
  <c r="L2431" i="19"/>
  <c r="L2435" i="19"/>
  <c r="L2439" i="19"/>
  <c r="L2443" i="19"/>
  <c r="L2447" i="19"/>
  <c r="L2451" i="19"/>
  <c r="L2455" i="19"/>
  <c r="L2459" i="19"/>
  <c r="L2400" i="19"/>
  <c r="L2404" i="19"/>
  <c r="L2408" i="19"/>
  <c r="L2412" i="19"/>
  <c r="L2416" i="19"/>
  <c r="L2420" i="19"/>
  <c r="L2424" i="19"/>
  <c r="L2428" i="19"/>
  <c r="L2432" i="19"/>
  <c r="L2436" i="19"/>
  <c r="L2440" i="19"/>
  <c r="L2444" i="19"/>
  <c r="L2448" i="19"/>
  <c r="L2452" i="19"/>
  <c r="L2456" i="19"/>
  <c r="M4" i="8"/>
  <c r="D4" i="8"/>
  <c r="B4" i="8"/>
  <c r="M3" i="8"/>
  <c r="D3" i="8"/>
  <c r="B3" i="8"/>
  <c r="B2" i="8" s="1"/>
  <c r="L7" i="8"/>
  <c r="L6" i="8"/>
  <c r="P5" i="8"/>
  <c r="P4" i="8"/>
  <c r="J4" i="8"/>
  <c r="F4" i="8"/>
  <c r="E4" i="8"/>
  <c r="C4" i="8"/>
  <c r="K4" i="8" s="1"/>
  <c r="P3" i="8"/>
  <c r="K3" i="8"/>
  <c r="J3" i="8"/>
  <c r="A3" i="8" s="1"/>
  <c r="H2" i="8"/>
  <c r="I2" i="8" s="1"/>
  <c r="A2" i="8"/>
  <c r="L150" i="22"/>
  <c r="L149" i="22"/>
  <c r="M147" i="22"/>
  <c r="L147" i="22"/>
  <c r="D147" i="22"/>
  <c r="M146" i="22"/>
  <c r="L146" i="22"/>
  <c r="D146" i="22"/>
  <c r="M145" i="22"/>
  <c r="L145" i="22"/>
  <c r="D145" i="22"/>
  <c r="B145" i="22"/>
  <c r="M144" i="22"/>
  <c r="L144" i="22"/>
  <c r="D144" i="22"/>
  <c r="B144" i="22"/>
  <c r="M143" i="22"/>
  <c r="L143" i="22"/>
  <c r="D143" i="22"/>
  <c r="B143" i="22"/>
  <c r="M142" i="22"/>
  <c r="L142" i="22"/>
  <c r="D142" i="22"/>
  <c r="B142" i="22"/>
  <c r="M141" i="22"/>
  <c r="L141" i="22"/>
  <c r="D141" i="22"/>
  <c r="B141" i="22"/>
  <c r="M140" i="22"/>
  <c r="L140" i="22"/>
  <c r="D140" i="22"/>
  <c r="B140" i="22"/>
  <c r="M139" i="22"/>
  <c r="L139" i="22"/>
  <c r="D139" i="22"/>
  <c r="B139" i="22"/>
  <c r="M138" i="22"/>
  <c r="L138" i="22"/>
  <c r="D138" i="22"/>
  <c r="B138" i="22"/>
  <c r="M137" i="22"/>
  <c r="L137" i="22"/>
  <c r="D137" i="22"/>
  <c r="B137" i="22"/>
  <c r="M136" i="22"/>
  <c r="L136" i="22"/>
  <c r="D136" i="22"/>
  <c r="B136" i="22"/>
  <c r="M135" i="22"/>
  <c r="L135" i="22"/>
  <c r="D135" i="22"/>
  <c r="B135" i="22"/>
  <c r="M134" i="22"/>
  <c r="L134" i="22"/>
  <c r="B134" i="22"/>
  <c r="M133" i="22"/>
  <c r="D133" i="22"/>
  <c r="B133" i="22"/>
  <c r="L129" i="22"/>
  <c r="L128" i="22"/>
  <c r="M126" i="22"/>
  <c r="L126" i="22"/>
  <c r="D126" i="22"/>
  <c r="M125" i="22"/>
  <c r="L125" i="22"/>
  <c r="D125" i="22"/>
  <c r="M124" i="22"/>
  <c r="L124" i="22"/>
  <c r="D124" i="22"/>
  <c r="B124" i="22"/>
  <c r="M123" i="22"/>
  <c r="L123" i="22"/>
  <c r="D123" i="22"/>
  <c r="B123" i="22"/>
  <c r="M122" i="22"/>
  <c r="L122" i="22"/>
  <c r="D122" i="22"/>
  <c r="B122" i="22"/>
  <c r="M121" i="22"/>
  <c r="L121" i="22"/>
  <c r="D121" i="22"/>
  <c r="B121" i="22"/>
  <c r="M120" i="22"/>
  <c r="L120" i="22"/>
  <c r="D120" i="22"/>
  <c r="B120" i="22"/>
  <c r="M119" i="22"/>
  <c r="L119" i="22"/>
  <c r="D119" i="22"/>
  <c r="B119" i="22"/>
  <c r="M118" i="22"/>
  <c r="L118" i="22"/>
  <c r="D118" i="22"/>
  <c r="B118" i="22"/>
  <c r="M117" i="22"/>
  <c r="L117" i="22"/>
  <c r="D117" i="22"/>
  <c r="B117" i="22"/>
  <c r="M116" i="22"/>
  <c r="L116" i="22"/>
  <c r="D116" i="22"/>
  <c r="B116" i="22"/>
  <c r="M115" i="22"/>
  <c r="L115" i="22"/>
  <c r="D115" i="22"/>
  <c r="B115" i="22"/>
  <c r="M114" i="22"/>
  <c r="L114" i="22"/>
  <c r="D114" i="22"/>
  <c r="B114" i="22"/>
  <c r="M113" i="22"/>
  <c r="L113" i="22"/>
  <c r="D113" i="22"/>
  <c r="B113" i="22"/>
  <c r="M112" i="22"/>
  <c r="L112" i="22"/>
  <c r="B112" i="22"/>
  <c r="M111" i="22"/>
  <c r="L111" i="22"/>
  <c r="D111" i="22"/>
  <c r="B111" i="22"/>
  <c r="M110" i="22"/>
  <c r="L110" i="22"/>
  <c r="B110" i="22"/>
  <c r="M109" i="22"/>
  <c r="D109" i="22"/>
  <c r="B109" i="22"/>
  <c r="L105" i="22"/>
  <c r="L104" i="22"/>
  <c r="M102" i="22"/>
  <c r="L102" i="22"/>
  <c r="D102" i="22"/>
  <c r="M101" i="22"/>
  <c r="L101" i="22"/>
  <c r="D101" i="22"/>
  <c r="M100" i="22"/>
  <c r="L100" i="22"/>
  <c r="D100" i="22"/>
  <c r="B100" i="22"/>
  <c r="M99" i="22"/>
  <c r="L99" i="22"/>
  <c r="D99" i="22"/>
  <c r="B99" i="22"/>
  <c r="M98" i="22"/>
  <c r="L98" i="22"/>
  <c r="D98" i="22"/>
  <c r="B98" i="22"/>
  <c r="M97" i="22"/>
  <c r="L97" i="22"/>
  <c r="D97" i="22"/>
  <c r="B97" i="22"/>
  <c r="M96" i="22"/>
  <c r="L96" i="22"/>
  <c r="D96" i="22"/>
  <c r="B96" i="22"/>
  <c r="M95" i="22"/>
  <c r="L95" i="22"/>
  <c r="D95" i="22"/>
  <c r="B95" i="22"/>
  <c r="M94" i="22"/>
  <c r="L94" i="22"/>
  <c r="D94" i="22"/>
  <c r="B94" i="22"/>
  <c r="M93" i="22"/>
  <c r="L93" i="22"/>
  <c r="D93" i="22"/>
  <c r="B93" i="22"/>
  <c r="M92" i="22"/>
  <c r="L92" i="22"/>
  <c r="D92" i="22"/>
  <c r="B92" i="22"/>
  <c r="M91" i="22"/>
  <c r="L91" i="22"/>
  <c r="D91" i="22"/>
  <c r="B91" i="22"/>
  <c r="M90" i="22"/>
  <c r="L90" i="22"/>
  <c r="D90" i="22"/>
  <c r="B90" i="22"/>
  <c r="M89" i="22"/>
  <c r="L89" i="22"/>
  <c r="D89" i="22"/>
  <c r="B89" i="22"/>
  <c r="M88" i="22"/>
  <c r="L88" i="22"/>
  <c r="D88" i="22"/>
  <c r="B88" i="22"/>
  <c r="M87" i="22"/>
  <c r="L87" i="22"/>
  <c r="D87" i="22"/>
  <c r="B87" i="22"/>
  <c r="M86" i="22"/>
  <c r="L86" i="22"/>
  <c r="B86" i="22"/>
  <c r="M85" i="22"/>
  <c r="L85" i="22"/>
  <c r="D85" i="22"/>
  <c r="B85" i="22"/>
  <c r="M84" i="22"/>
  <c r="L84" i="22"/>
  <c r="B84" i="22"/>
  <c r="M83" i="22"/>
  <c r="L83" i="22"/>
  <c r="D83" i="22"/>
  <c r="B83" i="22"/>
  <c r="M82" i="22"/>
  <c r="L82" i="22"/>
  <c r="B82" i="22"/>
  <c r="M81" i="22"/>
  <c r="D81" i="22"/>
  <c r="B81" i="22"/>
  <c r="L77" i="22"/>
  <c r="L76" i="22"/>
  <c r="M74" i="22"/>
  <c r="L74" i="22"/>
  <c r="D74" i="22"/>
  <c r="M73" i="22"/>
  <c r="L73" i="22"/>
  <c r="D73" i="22"/>
  <c r="M72" i="22"/>
  <c r="L72" i="22"/>
  <c r="D72" i="22"/>
  <c r="B72" i="22"/>
  <c r="M71" i="22"/>
  <c r="L71" i="22"/>
  <c r="D71" i="22"/>
  <c r="B71" i="22"/>
  <c r="M70" i="22"/>
  <c r="L70" i="22"/>
  <c r="D70" i="22"/>
  <c r="B70" i="22"/>
  <c r="M69" i="22"/>
  <c r="L69" i="22"/>
  <c r="D69" i="22"/>
  <c r="B69" i="22"/>
  <c r="M68" i="22"/>
  <c r="L68" i="22"/>
  <c r="D68" i="22"/>
  <c r="B68" i="22"/>
  <c r="M67" i="22"/>
  <c r="L67" i="22"/>
  <c r="D67" i="22"/>
  <c r="B67" i="22"/>
  <c r="M66" i="22"/>
  <c r="L66" i="22"/>
  <c r="D66" i="22"/>
  <c r="B66" i="22"/>
  <c r="M65" i="22"/>
  <c r="L65" i="22"/>
  <c r="D65" i="22"/>
  <c r="B65" i="22"/>
  <c r="M64" i="22"/>
  <c r="L64" i="22"/>
  <c r="D64" i="22"/>
  <c r="B64" i="22"/>
  <c r="M63" i="22"/>
  <c r="L63" i="22"/>
  <c r="D63" i="22"/>
  <c r="B63" i="22"/>
  <c r="M62" i="22"/>
  <c r="L62" i="22"/>
  <c r="D62" i="22"/>
  <c r="B62" i="22"/>
  <c r="M61" i="22"/>
  <c r="L61" i="22"/>
  <c r="D61" i="22"/>
  <c r="B61" i="22"/>
  <c r="M60" i="22"/>
  <c r="L60" i="22"/>
  <c r="D60" i="22"/>
  <c r="B60" i="22"/>
  <c r="M59" i="22"/>
  <c r="L59" i="22"/>
  <c r="D59" i="22"/>
  <c r="B59" i="22"/>
  <c r="M58" i="22"/>
  <c r="L58" i="22"/>
  <c r="B58" i="22"/>
  <c r="M57" i="22"/>
  <c r="L57" i="22"/>
  <c r="D57" i="22"/>
  <c r="B57" i="22"/>
  <c r="M56" i="22"/>
  <c r="L56" i="22"/>
  <c r="B56" i="22"/>
  <c r="M55" i="22"/>
  <c r="D55" i="22"/>
  <c r="B55" i="22"/>
  <c r="L51" i="22"/>
  <c r="L50" i="22"/>
  <c r="M48" i="22"/>
  <c r="L48" i="22"/>
  <c r="D48" i="22"/>
  <c r="M47" i="22"/>
  <c r="L47" i="22"/>
  <c r="D47" i="22"/>
  <c r="M46" i="22"/>
  <c r="L46" i="22"/>
  <c r="D46" i="22"/>
  <c r="B46" i="22"/>
  <c r="M45" i="22"/>
  <c r="L45" i="22"/>
  <c r="D45" i="22"/>
  <c r="B45" i="22"/>
  <c r="M44" i="22"/>
  <c r="L44" i="22"/>
  <c r="D44" i="22"/>
  <c r="B44" i="22"/>
  <c r="M43" i="22"/>
  <c r="L43" i="22"/>
  <c r="D43" i="22"/>
  <c r="B43" i="22"/>
  <c r="M42" i="22"/>
  <c r="L42" i="22"/>
  <c r="D42" i="22"/>
  <c r="B42" i="22"/>
  <c r="M41" i="22"/>
  <c r="L41" i="22"/>
  <c r="D41" i="22"/>
  <c r="B41" i="22"/>
  <c r="M40" i="22"/>
  <c r="L40" i="22"/>
  <c r="D40" i="22"/>
  <c r="B40" i="22"/>
  <c r="M39" i="22"/>
  <c r="L39" i="22"/>
  <c r="D39" i="22"/>
  <c r="B39" i="22"/>
  <c r="M38" i="22"/>
  <c r="L38" i="22"/>
  <c r="D38" i="22"/>
  <c r="B38" i="22"/>
  <c r="M37" i="22"/>
  <c r="L37" i="22"/>
  <c r="D37" i="22"/>
  <c r="B37" i="22"/>
  <c r="M36" i="22"/>
  <c r="L36" i="22"/>
  <c r="D36" i="22"/>
  <c r="B36" i="22"/>
  <c r="M35" i="22"/>
  <c r="L35" i="22"/>
  <c r="D35" i="22"/>
  <c r="B35" i="22"/>
  <c r="M34" i="22"/>
  <c r="L34" i="22"/>
  <c r="B34" i="22"/>
  <c r="M33" i="22"/>
  <c r="L33" i="22"/>
  <c r="D33" i="22"/>
  <c r="B33" i="22"/>
  <c r="M32" i="22"/>
  <c r="L32" i="22"/>
  <c r="B32" i="22"/>
  <c r="M31" i="22"/>
  <c r="L31" i="22"/>
  <c r="B31" i="22"/>
  <c r="M30" i="22"/>
  <c r="D30" i="22"/>
  <c r="B30" i="22"/>
  <c r="L26" i="22"/>
  <c r="L25" i="22"/>
  <c r="M23" i="22"/>
  <c r="L23" i="22"/>
  <c r="D23" i="22"/>
  <c r="M22" i="22"/>
  <c r="L22" i="22"/>
  <c r="D22" i="22"/>
  <c r="M21" i="22"/>
  <c r="L21" i="22"/>
  <c r="D21" i="22"/>
  <c r="E21" i="22" s="1"/>
  <c r="B21" i="22"/>
  <c r="M20" i="22"/>
  <c r="L20" i="22"/>
  <c r="D20" i="22"/>
  <c r="B20" i="22"/>
  <c r="M19" i="22"/>
  <c r="L19" i="22"/>
  <c r="D19" i="22"/>
  <c r="B19" i="22"/>
  <c r="M18" i="22"/>
  <c r="L18" i="22"/>
  <c r="D18" i="22"/>
  <c r="B18" i="22"/>
  <c r="M17" i="22"/>
  <c r="L17" i="22"/>
  <c r="D17" i="22"/>
  <c r="B17" i="22"/>
  <c r="M16" i="22"/>
  <c r="L16" i="22"/>
  <c r="D16" i="22"/>
  <c r="B16" i="22"/>
  <c r="M15" i="22"/>
  <c r="L15" i="22"/>
  <c r="D15" i="22"/>
  <c r="B15" i="22"/>
  <c r="M14" i="22"/>
  <c r="L14" i="22"/>
  <c r="D14" i="22"/>
  <c r="B14" i="22"/>
  <c r="M13" i="22"/>
  <c r="L13" i="22"/>
  <c r="D13" i="22"/>
  <c r="B13" i="22"/>
  <c r="M12" i="22"/>
  <c r="L12" i="22"/>
  <c r="D12" i="22"/>
  <c r="B12" i="22"/>
  <c r="M11" i="22"/>
  <c r="L11" i="22"/>
  <c r="D11" i="22"/>
  <c r="B11" i="22"/>
  <c r="M10" i="22"/>
  <c r="L10" i="22"/>
  <c r="K10" i="22" s="1"/>
  <c r="B10" i="22"/>
  <c r="M9" i="22"/>
  <c r="L9" i="22"/>
  <c r="D9" i="22"/>
  <c r="E9" i="22" s="1"/>
  <c r="B9" i="22"/>
  <c r="M8" i="22"/>
  <c r="L8" i="22"/>
  <c r="D8" i="22"/>
  <c r="E8" i="22" s="1"/>
  <c r="B8" i="22"/>
  <c r="M7" i="22"/>
  <c r="L7" i="22"/>
  <c r="B7" i="22"/>
  <c r="M6" i="22"/>
  <c r="L6" i="22"/>
  <c r="D6" i="22"/>
  <c r="B6" i="22"/>
  <c r="M5" i="22"/>
  <c r="L5" i="22"/>
  <c r="B5" i="22"/>
  <c r="M4" i="22"/>
  <c r="L4" i="22"/>
  <c r="D4" i="22"/>
  <c r="B4" i="22"/>
  <c r="M3" i="22"/>
  <c r="K3" i="22" s="1"/>
  <c r="G3" i="22" s="1"/>
  <c r="H3" i="22" s="1"/>
  <c r="D3" i="22"/>
  <c r="B3" i="22"/>
  <c r="L152" i="22"/>
  <c r="L151" i="22"/>
  <c r="J150" i="22"/>
  <c r="O149" i="22"/>
  <c r="O150" i="22" s="1"/>
  <c r="O147" i="22" s="1"/>
  <c r="J149" i="22"/>
  <c r="K147" i="22"/>
  <c r="G147" i="22" s="1"/>
  <c r="J147" i="22"/>
  <c r="E147" i="22"/>
  <c r="K146" i="22"/>
  <c r="G146" i="22" s="1"/>
  <c r="J146" i="22"/>
  <c r="E146" i="22"/>
  <c r="K145" i="22"/>
  <c r="G145" i="22" s="1"/>
  <c r="H145" i="22" s="1"/>
  <c r="J145" i="22"/>
  <c r="E145" i="22"/>
  <c r="J144" i="22"/>
  <c r="C144" i="22"/>
  <c r="K143" i="22"/>
  <c r="G143" i="22" s="1"/>
  <c r="H143" i="22" s="1"/>
  <c r="J143" i="22"/>
  <c r="E143" i="22"/>
  <c r="K142" i="22"/>
  <c r="G142" i="22" s="1"/>
  <c r="H142" i="22" s="1"/>
  <c r="J142" i="22"/>
  <c r="E142" i="22"/>
  <c r="K141" i="22"/>
  <c r="G141" i="22" s="1"/>
  <c r="H141" i="22" s="1"/>
  <c r="J141" i="22"/>
  <c r="E141" i="22"/>
  <c r="K140" i="22"/>
  <c r="J140" i="22"/>
  <c r="G140" i="22" s="1"/>
  <c r="H140" i="22" s="1"/>
  <c r="E140" i="22"/>
  <c r="K139" i="22"/>
  <c r="G139" i="22" s="1"/>
  <c r="H139" i="22" s="1"/>
  <c r="J139" i="22"/>
  <c r="E139" i="22"/>
  <c r="K138" i="22"/>
  <c r="G138" i="22" s="1"/>
  <c r="H138" i="22" s="1"/>
  <c r="J138" i="22"/>
  <c r="E138" i="22"/>
  <c r="K137" i="22"/>
  <c r="J137" i="22"/>
  <c r="E137" i="22"/>
  <c r="K136" i="22"/>
  <c r="J136" i="22"/>
  <c r="E136" i="22"/>
  <c r="K135" i="22"/>
  <c r="G135" i="22" s="1"/>
  <c r="H135" i="22" s="1"/>
  <c r="J135" i="22"/>
  <c r="E135" i="22"/>
  <c r="K134" i="22"/>
  <c r="G134" i="22" s="1"/>
  <c r="H134" i="22" s="1"/>
  <c r="J134" i="22"/>
  <c r="E134" i="22"/>
  <c r="K133" i="22"/>
  <c r="G133" i="22" s="1"/>
  <c r="H133" i="22" s="1"/>
  <c r="J133" i="22"/>
  <c r="H132" i="22"/>
  <c r="I132" i="22" s="1"/>
  <c r="L131" i="22"/>
  <c r="L130" i="22"/>
  <c r="J129" i="22"/>
  <c r="O128" i="22"/>
  <c r="O129" i="22" s="1"/>
  <c r="O126" i="22" s="1"/>
  <c r="J128" i="22"/>
  <c r="K126" i="22"/>
  <c r="G126" i="22" s="1"/>
  <c r="J126" i="22"/>
  <c r="E126" i="22"/>
  <c r="K125" i="22"/>
  <c r="G125" i="22" s="1"/>
  <c r="J125" i="22"/>
  <c r="E125" i="22"/>
  <c r="K124" i="22"/>
  <c r="G124" i="22" s="1"/>
  <c r="H124" i="22" s="1"/>
  <c r="J124" i="22"/>
  <c r="E124" i="22"/>
  <c r="J123" i="22"/>
  <c r="C123" i="22"/>
  <c r="J122" i="22"/>
  <c r="E122" i="22"/>
  <c r="K121" i="22"/>
  <c r="G121" i="22" s="1"/>
  <c r="H121" i="22" s="1"/>
  <c r="J121" i="22"/>
  <c r="E121" i="22"/>
  <c r="K120" i="22"/>
  <c r="J120" i="22"/>
  <c r="E120" i="22"/>
  <c r="K119" i="22"/>
  <c r="J119" i="22"/>
  <c r="E119" i="22"/>
  <c r="K118" i="22"/>
  <c r="J118" i="22"/>
  <c r="G118" i="22"/>
  <c r="H118" i="22" s="1"/>
  <c r="E118" i="22"/>
  <c r="K117" i="22"/>
  <c r="G117" i="22" s="1"/>
  <c r="H117" i="22" s="1"/>
  <c r="J117" i="22"/>
  <c r="E117" i="22"/>
  <c r="K116" i="22"/>
  <c r="J116" i="22"/>
  <c r="E116" i="22"/>
  <c r="K115" i="22"/>
  <c r="J115" i="22"/>
  <c r="E115" i="22"/>
  <c r="K114" i="22"/>
  <c r="J114" i="22"/>
  <c r="G114" i="22" s="1"/>
  <c r="H114" i="22" s="1"/>
  <c r="K113" i="22"/>
  <c r="G113" i="22" s="1"/>
  <c r="H113" i="22" s="1"/>
  <c r="J113" i="22"/>
  <c r="E113" i="22"/>
  <c r="K112" i="22"/>
  <c r="J112" i="22"/>
  <c r="E112" i="22"/>
  <c r="K111" i="22"/>
  <c r="G111" i="22" s="1"/>
  <c r="H111" i="22" s="1"/>
  <c r="J111" i="22"/>
  <c r="E111" i="22"/>
  <c r="K110" i="22"/>
  <c r="G110" i="22" s="1"/>
  <c r="H110" i="22" s="1"/>
  <c r="J110" i="22"/>
  <c r="E110" i="22"/>
  <c r="K109" i="22"/>
  <c r="J109" i="22"/>
  <c r="G109" i="22" s="1"/>
  <c r="H109" i="22" s="1"/>
  <c r="H108" i="22"/>
  <c r="I108" i="22" s="1"/>
  <c r="L107" i="22"/>
  <c r="L106" i="22"/>
  <c r="J105" i="22"/>
  <c r="O104" i="22"/>
  <c r="J104" i="22"/>
  <c r="J102" i="22"/>
  <c r="E102" i="22"/>
  <c r="K101" i="22"/>
  <c r="G101" i="22" s="1"/>
  <c r="J101" i="22"/>
  <c r="E101" i="22"/>
  <c r="K100" i="22"/>
  <c r="G100" i="22" s="1"/>
  <c r="H100" i="22" s="1"/>
  <c r="J100" i="22"/>
  <c r="E100" i="22"/>
  <c r="J99" i="22"/>
  <c r="C99" i="22"/>
  <c r="K98" i="22"/>
  <c r="G98" i="22" s="1"/>
  <c r="H98" i="22" s="1"/>
  <c r="J98" i="22"/>
  <c r="E98" i="22"/>
  <c r="K97" i="22"/>
  <c r="J97" i="22"/>
  <c r="E97" i="22"/>
  <c r="K96" i="22"/>
  <c r="G96" i="22" s="1"/>
  <c r="H96" i="22" s="1"/>
  <c r="J96" i="22"/>
  <c r="E96" i="22"/>
  <c r="K95" i="22"/>
  <c r="G95" i="22" s="1"/>
  <c r="H95" i="22" s="1"/>
  <c r="J95" i="22"/>
  <c r="E95" i="22"/>
  <c r="K94" i="22"/>
  <c r="J94" i="22"/>
  <c r="E94" i="22"/>
  <c r="K93" i="22"/>
  <c r="J93" i="22"/>
  <c r="G93" i="22" s="1"/>
  <c r="H93" i="22" s="1"/>
  <c r="E93" i="22"/>
  <c r="K92" i="22"/>
  <c r="G92" i="22" s="1"/>
  <c r="H92" i="22" s="1"/>
  <c r="J92" i="22"/>
  <c r="E92" i="22"/>
  <c r="K91" i="22"/>
  <c r="G91" i="22" s="1"/>
  <c r="H91" i="22" s="1"/>
  <c r="J91" i="22"/>
  <c r="E91" i="22"/>
  <c r="K90" i="22"/>
  <c r="J90" i="22"/>
  <c r="E90" i="22"/>
  <c r="K89" i="22"/>
  <c r="J89" i="22"/>
  <c r="G89" i="22" s="1"/>
  <c r="H89" i="22" s="1"/>
  <c r="E89" i="22"/>
  <c r="K88" i="22"/>
  <c r="J88" i="22"/>
  <c r="G88" i="22"/>
  <c r="H88" i="22" s="1"/>
  <c r="E88" i="22"/>
  <c r="K87" i="22"/>
  <c r="G87" i="22" s="1"/>
  <c r="H87" i="22" s="1"/>
  <c r="J87" i="22"/>
  <c r="E87" i="22"/>
  <c r="K86" i="22"/>
  <c r="J86" i="22"/>
  <c r="E86" i="22"/>
  <c r="J85" i="22"/>
  <c r="E85" i="22"/>
  <c r="K84" i="22"/>
  <c r="G84" i="22" s="1"/>
  <c r="H84" i="22" s="1"/>
  <c r="J84" i="22"/>
  <c r="E84" i="22"/>
  <c r="J83" i="22"/>
  <c r="E83" i="22"/>
  <c r="K82" i="22"/>
  <c r="G82" i="22" s="1"/>
  <c r="H82" i="22" s="1"/>
  <c r="J82" i="22"/>
  <c r="E82" i="22"/>
  <c r="K81" i="22"/>
  <c r="J81" i="22"/>
  <c r="G81" i="22"/>
  <c r="H81" i="22" s="1"/>
  <c r="E81" i="22"/>
  <c r="H80" i="22"/>
  <c r="I80" i="22" s="1"/>
  <c r="L79" i="22"/>
  <c r="L78" i="22"/>
  <c r="J77" i="22"/>
  <c r="O76" i="22"/>
  <c r="J76" i="22"/>
  <c r="K74" i="22"/>
  <c r="G74" i="22" s="1"/>
  <c r="J74" i="22"/>
  <c r="E74" i="22"/>
  <c r="J73" i="22"/>
  <c r="E73" i="22"/>
  <c r="O72" i="22"/>
  <c r="J72" i="22"/>
  <c r="E72" i="22"/>
  <c r="K71" i="22"/>
  <c r="G71" i="22" s="1"/>
  <c r="H71" i="22" s="1"/>
  <c r="J71" i="22"/>
  <c r="E71" i="22"/>
  <c r="J70" i="22"/>
  <c r="C70" i="22"/>
  <c r="K69" i="22"/>
  <c r="G69" i="22" s="1"/>
  <c r="H69" i="22" s="1"/>
  <c r="J69" i="22"/>
  <c r="E69" i="22"/>
  <c r="K68" i="22"/>
  <c r="G68" i="22" s="1"/>
  <c r="H68" i="22" s="1"/>
  <c r="J68" i="22"/>
  <c r="E68" i="22"/>
  <c r="K67" i="22"/>
  <c r="J67" i="22"/>
  <c r="G67" i="22" s="1"/>
  <c r="H67" i="22" s="1"/>
  <c r="E67" i="22"/>
  <c r="K66" i="22"/>
  <c r="G66" i="22" s="1"/>
  <c r="H66" i="22" s="1"/>
  <c r="J66" i="22"/>
  <c r="E66" i="22"/>
  <c r="K65" i="22"/>
  <c r="G65" i="22" s="1"/>
  <c r="H65" i="22" s="1"/>
  <c r="J65" i="22"/>
  <c r="E65" i="22"/>
  <c r="K64" i="22"/>
  <c r="G64" i="22" s="1"/>
  <c r="H64" i="22" s="1"/>
  <c r="J64" i="22"/>
  <c r="E64" i="22"/>
  <c r="K63" i="22"/>
  <c r="J63" i="22"/>
  <c r="G63" i="22" s="1"/>
  <c r="H63" i="22" s="1"/>
  <c r="E63" i="22"/>
  <c r="K62" i="22"/>
  <c r="G62" i="22" s="1"/>
  <c r="H62" i="22" s="1"/>
  <c r="J62" i="22"/>
  <c r="E62" i="22"/>
  <c r="K61" i="22"/>
  <c r="G61" i="22" s="1"/>
  <c r="H61" i="22" s="1"/>
  <c r="J61" i="22"/>
  <c r="E61" i="22"/>
  <c r="K60" i="22"/>
  <c r="G60" i="22" s="1"/>
  <c r="H60" i="22" s="1"/>
  <c r="J60" i="22"/>
  <c r="E60" i="22"/>
  <c r="K59" i="22"/>
  <c r="J59" i="22"/>
  <c r="G59" i="22" s="1"/>
  <c r="H59" i="22" s="1"/>
  <c r="E59" i="22"/>
  <c r="K58" i="22"/>
  <c r="J58" i="22"/>
  <c r="E58" i="22"/>
  <c r="K57" i="22"/>
  <c r="G57" i="22" s="1"/>
  <c r="H57" i="22" s="1"/>
  <c r="J57" i="22"/>
  <c r="E57" i="22"/>
  <c r="K56" i="22"/>
  <c r="J56" i="22"/>
  <c r="E56" i="22"/>
  <c r="K55" i="22"/>
  <c r="G55" i="22" s="1"/>
  <c r="H55" i="22" s="1"/>
  <c r="J55" i="22"/>
  <c r="E55" i="22"/>
  <c r="I54" i="22"/>
  <c r="H54" i="22"/>
  <c r="L53" i="22"/>
  <c r="L52" i="22"/>
  <c r="O51" i="22"/>
  <c r="J51" i="22"/>
  <c r="O50" i="22"/>
  <c r="J50" i="22"/>
  <c r="O48" i="22"/>
  <c r="K48" i="22"/>
  <c r="G48" i="22" s="1"/>
  <c r="J48" i="22"/>
  <c r="E48" i="22"/>
  <c r="O47" i="22"/>
  <c r="K47" i="22"/>
  <c r="G47" i="22" s="1"/>
  <c r="J47" i="22"/>
  <c r="E47" i="22"/>
  <c r="O46" i="22"/>
  <c r="K46" i="22"/>
  <c r="G46" i="22" s="1"/>
  <c r="H46" i="22" s="1"/>
  <c r="J46" i="22"/>
  <c r="E46" i="22"/>
  <c r="O45" i="22"/>
  <c r="K45" i="22"/>
  <c r="G45" i="22" s="1"/>
  <c r="H45" i="22" s="1"/>
  <c r="J45" i="22"/>
  <c r="E45" i="22"/>
  <c r="J44" i="22"/>
  <c r="C44" i="22"/>
  <c r="K43" i="22"/>
  <c r="G43" i="22" s="1"/>
  <c r="H43" i="22" s="1"/>
  <c r="J43" i="22"/>
  <c r="E43" i="22"/>
  <c r="K42" i="22"/>
  <c r="G42" i="22" s="1"/>
  <c r="H42" i="22" s="1"/>
  <c r="J42" i="22"/>
  <c r="E42" i="22"/>
  <c r="K41" i="22"/>
  <c r="G41" i="22" s="1"/>
  <c r="H41" i="22" s="1"/>
  <c r="J41" i="22"/>
  <c r="E41" i="22"/>
  <c r="K40" i="22"/>
  <c r="J40" i="22"/>
  <c r="E40" i="22"/>
  <c r="K39" i="22"/>
  <c r="G39" i="22" s="1"/>
  <c r="H39" i="22" s="1"/>
  <c r="J39" i="22"/>
  <c r="E39" i="22"/>
  <c r="K38" i="22"/>
  <c r="G38" i="22" s="1"/>
  <c r="H38" i="22" s="1"/>
  <c r="J38" i="22"/>
  <c r="E38" i="22"/>
  <c r="K37" i="22"/>
  <c r="J37" i="22"/>
  <c r="E37" i="22"/>
  <c r="K36" i="22"/>
  <c r="J36" i="22"/>
  <c r="G36" i="22" s="1"/>
  <c r="H36" i="22" s="1"/>
  <c r="E36" i="22"/>
  <c r="K35" i="22"/>
  <c r="G35" i="22" s="1"/>
  <c r="H35" i="22" s="1"/>
  <c r="J35" i="22"/>
  <c r="E35" i="22"/>
  <c r="K34" i="22"/>
  <c r="G34" i="22" s="1"/>
  <c r="H34" i="22" s="1"/>
  <c r="J34" i="22"/>
  <c r="E34" i="22"/>
  <c r="K33" i="22"/>
  <c r="J33" i="22"/>
  <c r="E33" i="22"/>
  <c r="K32" i="22"/>
  <c r="G32" i="22" s="1"/>
  <c r="H32" i="22" s="1"/>
  <c r="J32" i="22"/>
  <c r="E32" i="22"/>
  <c r="K31" i="22"/>
  <c r="J31" i="22"/>
  <c r="E31" i="22"/>
  <c r="K30" i="22"/>
  <c r="G30" i="22" s="1"/>
  <c r="H30" i="22" s="1"/>
  <c r="J30" i="22"/>
  <c r="E30" i="22"/>
  <c r="I29" i="22"/>
  <c r="H29" i="22"/>
  <c r="L28" i="22"/>
  <c r="L27" i="22"/>
  <c r="J26" i="22"/>
  <c r="O25" i="22"/>
  <c r="J25" i="22"/>
  <c r="K23" i="22"/>
  <c r="G23" i="22" s="1"/>
  <c r="J23" i="22"/>
  <c r="E23" i="22"/>
  <c r="K22" i="22"/>
  <c r="G22" i="22" s="1"/>
  <c r="J22" i="22"/>
  <c r="E22" i="22"/>
  <c r="J21" i="22"/>
  <c r="J20" i="22"/>
  <c r="C20" i="22"/>
  <c r="J19" i="22"/>
  <c r="K18" i="22"/>
  <c r="G18" i="22" s="1"/>
  <c r="H18" i="22" s="1"/>
  <c r="J18" i="22"/>
  <c r="K17" i="22"/>
  <c r="J17" i="22"/>
  <c r="G17" i="22" s="1"/>
  <c r="H17" i="22" s="1"/>
  <c r="K16" i="22"/>
  <c r="J16" i="22"/>
  <c r="J15" i="22"/>
  <c r="K14" i="22"/>
  <c r="G14" i="22" s="1"/>
  <c r="H14" i="22" s="1"/>
  <c r="J14" i="22"/>
  <c r="E14" i="22"/>
  <c r="K13" i="22"/>
  <c r="J13" i="22"/>
  <c r="K12" i="22"/>
  <c r="G12" i="22" s="1"/>
  <c r="H12" i="22" s="1"/>
  <c r="J12" i="22"/>
  <c r="K11" i="22"/>
  <c r="G11" i="22" s="1"/>
  <c r="H11" i="22" s="1"/>
  <c r="J11" i="22"/>
  <c r="J10" i="22"/>
  <c r="E10" i="22"/>
  <c r="J9" i="22"/>
  <c r="K8" i="22"/>
  <c r="G8" i="22" s="1"/>
  <c r="H8" i="22" s="1"/>
  <c r="J8" i="22"/>
  <c r="K7" i="22"/>
  <c r="G7" i="22" s="1"/>
  <c r="H7" i="22" s="1"/>
  <c r="J7" i="22"/>
  <c r="E7" i="22"/>
  <c r="J6" i="22"/>
  <c r="E6" i="22"/>
  <c r="K5" i="22"/>
  <c r="G5" i="22" s="1"/>
  <c r="H5" i="22" s="1"/>
  <c r="J5" i="22"/>
  <c r="E5" i="22"/>
  <c r="A5" i="22"/>
  <c r="J4" i="22"/>
  <c r="J3" i="22"/>
  <c r="A24" i="22" s="1"/>
  <c r="A3" i="22"/>
  <c r="I2" i="22"/>
  <c r="H2" i="22"/>
  <c r="A2" i="22"/>
  <c r="N65" i="22"/>
  <c r="N141" i="22"/>
  <c r="N42" i="22"/>
  <c r="N112" i="22"/>
  <c r="N123" i="22"/>
  <c r="N125" i="22"/>
  <c r="N5" i="22"/>
  <c r="N23" i="22"/>
  <c r="N30" i="22"/>
  <c r="N134" i="22"/>
  <c r="N59" i="22"/>
  <c r="N91" i="22"/>
  <c r="N120" i="22"/>
  <c r="N4" i="8"/>
  <c r="N117" i="22"/>
  <c r="N71" i="22"/>
  <c r="N95" i="22"/>
  <c r="N12" i="22"/>
  <c r="N46" i="22"/>
  <c r="N94" i="22"/>
  <c r="N90" i="22"/>
  <c r="N7" i="22"/>
  <c r="N121" i="22"/>
  <c r="N74" i="22"/>
  <c r="N102" i="22"/>
  <c r="N11" i="22"/>
  <c r="N64" i="22"/>
  <c r="N81" i="22"/>
  <c r="N85" i="22"/>
  <c r="N135" i="22"/>
  <c r="N133" i="22"/>
  <c r="N118" i="22"/>
  <c r="N144" i="22"/>
  <c r="N44" i="22"/>
  <c r="N39" i="22"/>
  <c r="N116" i="22"/>
  <c r="N100" i="22"/>
  <c r="N33" i="22"/>
  <c r="N111" i="22"/>
  <c r="N137" i="22"/>
  <c r="N38" i="22"/>
  <c r="N142" i="22"/>
  <c r="N63" i="22"/>
  <c r="N87" i="22"/>
  <c r="N138" i="22"/>
  <c r="N48" i="22"/>
  <c r="N119" i="22"/>
  <c r="N37" i="22"/>
  <c r="N60" i="22"/>
  <c r="N83" i="22"/>
  <c r="N45" i="22"/>
  <c r="N139" i="22"/>
  <c r="N18" i="22"/>
  <c r="N92" i="22"/>
  <c r="N13" i="22"/>
  <c r="N69" i="22"/>
  <c r="N58" i="22"/>
  <c r="N97" i="22"/>
  <c r="N82" i="22"/>
  <c r="N146" i="22"/>
  <c r="N72" i="22"/>
  <c r="N88" i="22"/>
  <c r="N34" i="22"/>
  <c r="N17" i="22"/>
  <c r="N43" i="22"/>
  <c r="N56" i="22"/>
  <c r="N57" i="22"/>
  <c r="N9" i="22"/>
  <c r="N41" i="22"/>
  <c r="N122" i="22"/>
  <c r="N3" i="22"/>
  <c r="N10" i="22"/>
  <c r="N93" i="22"/>
  <c r="N114" i="22"/>
  <c r="N62" i="22"/>
  <c r="N109" i="22"/>
  <c r="N15" i="22"/>
  <c r="N3" i="8"/>
  <c r="N55" i="22"/>
  <c r="N66" i="22"/>
  <c r="N101" i="22"/>
  <c r="N4" i="22"/>
  <c r="N36" i="22"/>
  <c r="N147" i="22"/>
  <c r="N22" i="22"/>
  <c r="N21" i="22"/>
  <c r="N40" i="22"/>
  <c r="N35" i="22"/>
  <c r="N143" i="22"/>
  <c r="N20" i="22"/>
  <c r="N96" i="22"/>
  <c r="N16" i="22"/>
  <c r="N145" i="22"/>
  <c r="N31" i="22"/>
  <c r="N6" i="22"/>
  <c r="N86" i="22"/>
  <c r="N126" i="22"/>
  <c r="N8" i="22"/>
  <c r="N98" i="22"/>
  <c r="N68" i="22"/>
  <c r="N113" i="22"/>
  <c r="N14" i="22"/>
  <c r="N99" i="22"/>
  <c r="N32" i="22"/>
  <c r="N84" i="22"/>
  <c r="N110" i="22"/>
  <c r="N73" i="22"/>
  <c r="N136" i="22"/>
  <c r="N115" i="22"/>
  <c r="N140" i="22"/>
  <c r="N19" i="22"/>
  <c r="N124" i="22"/>
  <c r="N70" i="22"/>
  <c r="N61" i="22"/>
  <c r="N89" i="22"/>
  <c r="N67" i="22"/>
  <c r="N47" i="22"/>
  <c r="G31" i="22" l="1"/>
  <c r="H31" i="22" s="1"/>
  <c r="G56" i="22"/>
  <c r="H56" i="22" s="1"/>
  <c r="G86" i="22"/>
  <c r="H86" i="22" s="1"/>
  <c r="E4" i="22"/>
  <c r="E3" i="22"/>
  <c r="K4" i="22"/>
  <c r="K6" i="22"/>
  <c r="E11" i="22"/>
  <c r="E13" i="22"/>
  <c r="E15" i="22"/>
  <c r="E17" i="22"/>
  <c r="E18" i="22"/>
  <c r="E19" i="22"/>
  <c r="G4" i="8"/>
  <c r="H4" i="8" s="1"/>
  <c r="A4" i="8"/>
  <c r="A6" i="8"/>
  <c r="A7" i="8"/>
  <c r="G3" i="8"/>
  <c r="H3" i="8" s="1"/>
  <c r="A5" i="8"/>
  <c r="G4" i="22"/>
  <c r="H4" i="22" s="1"/>
  <c r="G33" i="22"/>
  <c r="H33" i="22" s="1"/>
  <c r="G37" i="22"/>
  <c r="H37" i="22" s="1"/>
  <c r="G90" i="22"/>
  <c r="H90" i="22" s="1"/>
  <c r="G94" i="22"/>
  <c r="H94" i="22" s="1"/>
  <c r="G137" i="22"/>
  <c r="H137" i="22" s="1"/>
  <c r="G6" i="22"/>
  <c r="H6" i="22" s="1"/>
  <c r="G10" i="22"/>
  <c r="H10" i="22" s="1"/>
  <c r="A6" i="22"/>
  <c r="A9" i="22"/>
  <c r="G13" i="22"/>
  <c r="H13" i="22" s="1"/>
  <c r="K19" i="22"/>
  <c r="G19" i="22" s="1"/>
  <c r="H19" i="22" s="1"/>
  <c r="A23" i="22"/>
  <c r="A30" i="22"/>
  <c r="G58" i="22"/>
  <c r="H58" i="22" s="1"/>
  <c r="A8" i="22"/>
  <c r="A11" i="22"/>
  <c r="E12" i="22"/>
  <c r="A14" i="22"/>
  <c r="K15" i="22"/>
  <c r="G15" i="22" s="1"/>
  <c r="H15" i="22" s="1"/>
  <c r="G16" i="22"/>
  <c r="H16" i="22" s="1"/>
  <c r="A18" i="22"/>
  <c r="K21" i="22"/>
  <c r="G21" i="22" s="1"/>
  <c r="H21" i="22" s="1"/>
  <c r="O26" i="22"/>
  <c r="O23" i="22" s="1"/>
  <c r="O22" i="22"/>
  <c r="A27" i="22"/>
  <c r="A29" i="22"/>
  <c r="G40" i="22"/>
  <c r="H40" i="22" s="1"/>
  <c r="A15" i="22"/>
  <c r="A19" i="22"/>
  <c r="A21" i="22"/>
  <c r="A22" i="22"/>
  <c r="A144" i="22"/>
  <c r="A140" i="22"/>
  <c r="A136" i="22"/>
  <c r="A123" i="22"/>
  <c r="A119" i="22"/>
  <c r="A115" i="22"/>
  <c r="A112" i="22"/>
  <c r="A99" i="22"/>
  <c r="A149" i="22"/>
  <c r="A141" i="22"/>
  <c r="A137" i="22"/>
  <c r="A134" i="22"/>
  <c r="A128" i="22"/>
  <c r="A150" i="22"/>
  <c r="A142" i="22"/>
  <c r="A138" i="22"/>
  <c r="A152" i="22"/>
  <c r="A151" i="22"/>
  <c r="A148" i="22"/>
  <c r="A147" i="22"/>
  <c r="A146" i="22"/>
  <c r="A145" i="22"/>
  <c r="A143" i="22"/>
  <c r="A139" i="22"/>
  <c r="A135" i="22"/>
  <c r="A133" i="22"/>
  <c r="A132" i="22"/>
  <c r="A131" i="22"/>
  <c r="A130" i="22"/>
  <c r="A127" i="22"/>
  <c r="A126" i="22"/>
  <c r="A120" i="22"/>
  <c r="A117" i="22"/>
  <c r="A114" i="22"/>
  <c r="A110" i="22"/>
  <c r="A109" i="22"/>
  <c r="A103" i="22"/>
  <c r="A96" i="22"/>
  <c r="A92" i="22"/>
  <c r="A129" i="22"/>
  <c r="A122" i="22"/>
  <c r="A105" i="22"/>
  <c r="A102" i="22"/>
  <c r="A97" i="22"/>
  <c r="A93" i="22"/>
  <c r="A89" i="22"/>
  <c r="A86" i="22"/>
  <c r="A125" i="22"/>
  <c r="A124" i="22"/>
  <c r="A121" i="22"/>
  <c r="A118" i="22"/>
  <c r="A116" i="22"/>
  <c r="A113" i="22"/>
  <c r="A104" i="22"/>
  <c r="A101" i="22"/>
  <c r="A98" i="22"/>
  <c r="A94" i="22"/>
  <c r="A90" i="22"/>
  <c r="A84" i="22"/>
  <c r="A70" i="22"/>
  <c r="A111" i="22"/>
  <c r="A108" i="22"/>
  <c r="A107" i="22"/>
  <c r="A106" i="22"/>
  <c r="A100" i="22"/>
  <c r="A95" i="22"/>
  <c r="A91" i="22"/>
  <c r="A88" i="22"/>
  <c r="A85" i="22"/>
  <c r="A83" i="22"/>
  <c r="A80" i="22"/>
  <c r="A79" i="22"/>
  <c r="A78" i="22"/>
  <c r="A66" i="22"/>
  <c r="A62" i="22"/>
  <c r="A56" i="22"/>
  <c r="A50" i="22"/>
  <c r="A41" i="22"/>
  <c r="A37" i="22"/>
  <c r="A34" i="22"/>
  <c r="A26" i="22"/>
  <c r="M26" i="22" s="1"/>
  <c r="K26" i="22" s="1"/>
  <c r="A87" i="22"/>
  <c r="A82" i="22"/>
  <c r="A81" i="22"/>
  <c r="A75" i="22"/>
  <c r="A72" i="22"/>
  <c r="A67" i="22"/>
  <c r="A63" i="22"/>
  <c r="A59" i="22"/>
  <c r="A51" i="22"/>
  <c r="A42" i="22"/>
  <c r="A38" i="22"/>
  <c r="A32" i="22"/>
  <c r="A77" i="22"/>
  <c r="A74" i="22"/>
  <c r="A71" i="22"/>
  <c r="A68" i="22"/>
  <c r="A64" i="22"/>
  <c r="A60" i="22"/>
  <c r="A57" i="22"/>
  <c r="A55" i="22"/>
  <c r="A54" i="22"/>
  <c r="A53" i="22"/>
  <c r="A52" i="22"/>
  <c r="A49" i="22"/>
  <c r="A48" i="22"/>
  <c r="A47" i="22"/>
  <c r="A46" i="22"/>
  <c r="A45" i="22"/>
  <c r="A43" i="22"/>
  <c r="A39" i="22"/>
  <c r="A35" i="22"/>
  <c r="A20" i="22"/>
  <c r="A16" i="22"/>
  <c r="A76" i="22"/>
  <c r="A73" i="22"/>
  <c r="A69" i="22"/>
  <c r="A65" i="22"/>
  <c r="A61" i="22"/>
  <c r="A58" i="22"/>
  <c r="A44" i="22"/>
  <c r="A40" i="22"/>
  <c r="A36" i="22"/>
  <c r="A33" i="22"/>
  <c r="A31" i="22"/>
  <c r="A25" i="22"/>
  <c r="M25" i="22" s="1"/>
  <c r="K25" i="22" s="1"/>
  <c r="A17" i="22"/>
  <c r="A13" i="22"/>
  <c r="A10" i="22"/>
  <c r="A4" i="22"/>
  <c r="A7" i="22"/>
  <c r="K9" i="22"/>
  <c r="G9" i="22" s="1"/>
  <c r="H9" i="22" s="1"/>
  <c r="A12" i="22"/>
  <c r="E16" i="22"/>
  <c r="A28" i="22"/>
  <c r="E20" i="22"/>
  <c r="K20" i="22"/>
  <c r="G20" i="22" s="1"/>
  <c r="K70" i="22"/>
  <c r="G70" i="22" s="1"/>
  <c r="O77" i="22"/>
  <c r="O74" i="22" s="1"/>
  <c r="O73" i="22"/>
  <c r="F73" i="22" s="1"/>
  <c r="K72" i="22"/>
  <c r="G72" i="22" s="1"/>
  <c r="H72" i="22" s="1"/>
  <c r="K44" i="22"/>
  <c r="G44" i="22" s="1"/>
  <c r="K83" i="22"/>
  <c r="G83" i="22" s="1"/>
  <c r="H83" i="22" s="1"/>
  <c r="K85" i="22"/>
  <c r="G85" i="22" s="1"/>
  <c r="H85" i="22" s="1"/>
  <c r="G116" i="22"/>
  <c r="H116" i="22" s="1"/>
  <c r="G120" i="22"/>
  <c r="H120" i="22" s="1"/>
  <c r="E44" i="22"/>
  <c r="K73" i="22"/>
  <c r="G73" i="22" s="1"/>
  <c r="H73" i="22" s="1"/>
  <c r="G97" i="22"/>
  <c r="H97" i="22" s="1"/>
  <c r="G112" i="22"/>
  <c r="H112" i="22" s="1"/>
  <c r="G115" i="22"/>
  <c r="H115" i="22" s="1"/>
  <c r="E133" i="22"/>
  <c r="K102" i="22"/>
  <c r="G102" i="22" s="1"/>
  <c r="O105" i="22"/>
  <c r="O102" i="22" s="1"/>
  <c r="O101" i="22"/>
  <c r="F101" i="22" s="1"/>
  <c r="E109" i="22"/>
  <c r="E114" i="22"/>
  <c r="K122" i="22"/>
  <c r="G122" i="22" s="1"/>
  <c r="H122" i="22" s="1"/>
  <c r="F126" i="22"/>
  <c r="H126" i="22" s="1"/>
  <c r="O124" i="22"/>
  <c r="E99" i="22"/>
  <c r="K99" i="22"/>
  <c r="G99" i="22" s="1"/>
  <c r="G119" i="22"/>
  <c r="H119" i="22" s="1"/>
  <c r="K144" i="22"/>
  <c r="G144" i="22" s="1"/>
  <c r="K123" i="22"/>
  <c r="G123" i="22" s="1"/>
  <c r="E123" i="22"/>
  <c r="G136" i="22"/>
  <c r="H136" i="22" s="1"/>
  <c r="F147" i="22"/>
  <c r="H147" i="22" s="1"/>
  <c r="O145" i="22"/>
  <c r="O125" i="22"/>
  <c r="F125" i="22" s="1"/>
  <c r="O146" i="22"/>
  <c r="F146" i="22" s="1"/>
  <c r="I5" i="8" l="1"/>
  <c r="K6" i="8" s="1"/>
  <c r="H6" i="8" s="1"/>
  <c r="K7" i="8" s="1"/>
  <c r="H7" i="8" s="1"/>
  <c r="F144" i="22"/>
  <c r="H125" i="22"/>
  <c r="F123" i="22"/>
  <c r="H123" i="22" s="1"/>
  <c r="F74" i="22"/>
  <c r="H74" i="22" s="1"/>
  <c r="O71" i="22"/>
  <c r="M129" i="22"/>
  <c r="H101" i="22"/>
  <c r="H25" i="22"/>
  <c r="M76" i="22"/>
  <c r="F47" i="22"/>
  <c r="H26" i="22"/>
  <c r="F22" i="22"/>
  <c r="E144" i="22"/>
  <c r="H144" i="22"/>
  <c r="I148" i="22" s="1"/>
  <c r="F102" i="22"/>
  <c r="H102" i="22" s="1"/>
  <c r="O100" i="22"/>
  <c r="H146" i="22"/>
  <c r="F48" i="22"/>
  <c r="H48" i="22" s="1"/>
  <c r="M77" i="22"/>
  <c r="M51" i="22"/>
  <c r="M104" i="22"/>
  <c r="M105" i="22"/>
  <c r="M150" i="22"/>
  <c r="F23" i="22"/>
  <c r="H23" i="22" s="1"/>
  <c r="O21" i="22"/>
  <c r="E70" i="22"/>
  <c r="F70" i="22"/>
  <c r="H70" i="22" s="1"/>
  <c r="M50" i="22"/>
  <c r="M128" i="22"/>
  <c r="M149" i="22"/>
  <c r="G2" i="8" l="1"/>
  <c r="I75" i="22"/>
  <c r="I127" i="22"/>
  <c r="K128" i="22"/>
  <c r="H128" i="22"/>
  <c r="K104" i="22"/>
  <c r="H104" i="22"/>
  <c r="H129" i="22"/>
  <c r="K129" i="22"/>
  <c r="K149" i="22"/>
  <c r="H149" i="22"/>
  <c r="K50" i="22"/>
  <c r="H50" i="22"/>
  <c r="K51" i="22"/>
  <c r="H51" i="22"/>
  <c r="F44" i="22"/>
  <c r="H44" i="22" s="1"/>
  <c r="H47" i="22"/>
  <c r="K150" i="22"/>
  <c r="H150" i="22"/>
  <c r="H77" i="22"/>
  <c r="K77" i="22"/>
  <c r="K76" i="22"/>
  <c r="H76" i="22"/>
  <c r="F99" i="22"/>
  <c r="H99" i="22" s="1"/>
  <c r="H105" i="22"/>
  <c r="K105" i="22"/>
  <c r="F20" i="22"/>
  <c r="H20" i="22" s="1"/>
  <c r="H22" i="22"/>
  <c r="K151" i="22" l="1"/>
  <c r="H151" i="22" s="1"/>
  <c r="K130" i="22"/>
  <c r="H130" i="22" s="1"/>
  <c r="K131" i="22" s="1"/>
  <c r="H131" i="22" s="1"/>
  <c r="K152" i="22"/>
  <c r="H152" i="22" s="1"/>
  <c r="G132" i="22" s="1"/>
  <c r="I103" i="22"/>
  <c r="K106" i="22" s="1"/>
  <c r="H106" i="22" s="1"/>
  <c r="K107" i="22" s="1"/>
  <c r="H107" i="22" s="1"/>
  <c r="I49" i="22"/>
  <c r="K52" i="22" s="1"/>
  <c r="H52" i="22" s="1"/>
  <c r="K53" i="22" s="1"/>
  <c r="H53" i="22" s="1"/>
  <c r="K78" i="22"/>
  <c r="H78" i="22" s="1"/>
  <c r="K79" i="22" s="1"/>
  <c r="H79" i="22" s="1"/>
  <c r="I24" i="22"/>
  <c r="K27" i="22" s="1"/>
  <c r="H27" i="22" s="1"/>
  <c r="K28" i="22" s="1"/>
  <c r="H28" i="22" s="1"/>
  <c r="F880" i="7"/>
  <c r="F879" i="7"/>
  <c r="F878" i="7"/>
  <c r="F863" i="7"/>
  <c r="F862" i="7"/>
  <c r="F861" i="7"/>
  <c r="F845" i="7"/>
  <c r="F844" i="7"/>
  <c r="F843" i="7"/>
  <c r="F769" i="7"/>
  <c r="F768" i="7"/>
  <c r="F767" i="7"/>
  <c r="F752" i="7"/>
  <c r="F751" i="7"/>
  <c r="F750" i="7"/>
  <c r="F734" i="7"/>
  <c r="F733" i="7"/>
  <c r="F732" i="7"/>
  <c r="F658" i="7"/>
  <c r="F657" i="7"/>
  <c r="F656" i="7"/>
  <c r="F641" i="7"/>
  <c r="F640" i="7"/>
  <c r="F639" i="7"/>
  <c r="F623" i="7"/>
  <c r="F622" i="7"/>
  <c r="F621" i="7"/>
  <c r="F547" i="7"/>
  <c r="F528" i="7"/>
  <c r="F527" i="7"/>
  <c r="F526" i="7"/>
  <c r="F510" i="7"/>
  <c r="F509" i="7"/>
  <c r="F508" i="7"/>
  <c r="F434" i="7"/>
  <c r="F433" i="7"/>
  <c r="F432" i="7"/>
  <c r="F417" i="7"/>
  <c r="F416" i="7"/>
  <c r="F415" i="7"/>
  <c r="F399" i="7"/>
  <c r="F398" i="7"/>
  <c r="F397" i="7"/>
  <c r="F323" i="7"/>
  <c r="F322" i="7"/>
  <c r="F321" i="7"/>
  <c r="F306" i="7"/>
  <c r="F305" i="7"/>
  <c r="F304" i="7"/>
  <c r="F288" i="7"/>
  <c r="F287" i="7"/>
  <c r="F286" i="7"/>
  <c r="F212" i="7"/>
  <c r="F193" i="7"/>
  <c r="F192" i="7"/>
  <c r="F191" i="7"/>
  <c r="F175" i="7"/>
  <c r="F174" i="7"/>
  <c r="F173" i="7"/>
  <c r="F99" i="7"/>
  <c r="F80" i="7"/>
  <c r="F79" i="7"/>
  <c r="F78" i="7"/>
  <c r="F62" i="7"/>
  <c r="F61" i="7"/>
  <c r="F60" i="7"/>
  <c r="G80" i="22" l="1"/>
  <c r="G108" i="22"/>
  <c r="G29" i="22"/>
  <c r="G54" i="22"/>
  <c r="G2" i="22"/>
  <c r="O20" i="25"/>
  <c r="O19" i="25"/>
  <c r="O18" i="25"/>
  <c r="O17" i="25"/>
  <c r="O16" i="25"/>
  <c r="O15" i="25"/>
  <c r="O14" i="25"/>
  <c r="Q13" i="25"/>
  <c r="M13" i="25"/>
  <c r="K13" i="25" s="1"/>
  <c r="O6" i="25"/>
  <c r="O5" i="25"/>
  <c r="O4" i="25"/>
  <c r="Q3" i="25"/>
  <c r="M3" i="25" s="1"/>
  <c r="K3" i="25" s="1"/>
  <c r="L25" i="25"/>
  <c r="A25" i="25"/>
  <c r="L24" i="25"/>
  <c r="P23" i="25"/>
  <c r="M23" i="25"/>
  <c r="K23" i="25" s="1"/>
  <c r="J23" i="25"/>
  <c r="A23" i="25"/>
  <c r="P22" i="25"/>
  <c r="P24" i="25" s="1"/>
  <c r="J22" i="25"/>
  <c r="P20" i="25"/>
  <c r="K20" i="25"/>
  <c r="J20" i="25"/>
  <c r="G20" i="25"/>
  <c r="H20" i="25" s="1"/>
  <c r="P19" i="25"/>
  <c r="K19" i="25"/>
  <c r="J19" i="25"/>
  <c r="G19" i="25"/>
  <c r="H19" i="25" s="1"/>
  <c r="P18" i="25"/>
  <c r="K18" i="25"/>
  <c r="J18" i="25"/>
  <c r="G18" i="25"/>
  <c r="H18" i="25" s="1"/>
  <c r="P17" i="25"/>
  <c r="K17" i="25"/>
  <c r="J17" i="25"/>
  <c r="G17" i="25"/>
  <c r="H17" i="25" s="1"/>
  <c r="P16" i="25"/>
  <c r="K16" i="25"/>
  <c r="J16" i="25"/>
  <c r="G16" i="25"/>
  <c r="H16" i="25" s="1"/>
  <c r="P15" i="25"/>
  <c r="K15" i="25"/>
  <c r="J15" i="25"/>
  <c r="G15" i="25"/>
  <c r="H15" i="25" s="1"/>
  <c r="P14" i="25"/>
  <c r="K14" i="25"/>
  <c r="J14" i="25"/>
  <c r="G14" i="25"/>
  <c r="H14" i="25" s="1"/>
  <c r="S13" i="25"/>
  <c r="R13" i="25"/>
  <c r="J13" i="25"/>
  <c r="E13" i="25"/>
  <c r="I12" i="25"/>
  <c r="H12" i="25"/>
  <c r="B12" i="25"/>
  <c r="A12" i="25"/>
  <c r="L11" i="25"/>
  <c r="A11" i="25"/>
  <c r="L10" i="25"/>
  <c r="P9" i="25"/>
  <c r="M9" i="25"/>
  <c r="K9" i="25" s="1"/>
  <c r="H9" i="25" s="1"/>
  <c r="J9" i="25"/>
  <c r="A9" i="25"/>
  <c r="P8" i="25"/>
  <c r="P10" i="25" s="1"/>
  <c r="M8" i="25"/>
  <c r="K8" i="25"/>
  <c r="H8" i="25" s="1"/>
  <c r="J8" i="25"/>
  <c r="P6" i="25"/>
  <c r="K6" i="25"/>
  <c r="J6" i="25"/>
  <c r="G6" i="25"/>
  <c r="H6" i="25" s="1"/>
  <c r="P5" i="25"/>
  <c r="K5" i="25"/>
  <c r="J5" i="25"/>
  <c r="G5" i="25"/>
  <c r="H5" i="25" s="1"/>
  <c r="P4" i="25"/>
  <c r="K4" i="25"/>
  <c r="J4" i="25"/>
  <c r="G4" i="25"/>
  <c r="H4" i="25" s="1"/>
  <c r="S3" i="25"/>
  <c r="R3" i="25"/>
  <c r="J3" i="25"/>
  <c r="A24" i="25" s="1"/>
  <c r="E3" i="25"/>
  <c r="A3" i="25"/>
  <c r="I2" i="25"/>
  <c r="H2" i="25"/>
  <c r="B2" i="25"/>
  <c r="A2" i="25"/>
  <c r="N14" i="25"/>
  <c r="N4" i="25"/>
  <c r="N6" i="25"/>
  <c r="N18" i="25"/>
  <c r="N16" i="25"/>
  <c r="N17" i="25"/>
  <c r="N15" i="25"/>
  <c r="N5" i="25"/>
  <c r="N20" i="25"/>
  <c r="N19" i="25"/>
  <c r="G13" i="25" l="1"/>
  <c r="H13" i="25" s="1"/>
  <c r="I21" i="25" s="1"/>
  <c r="O8" i="25"/>
  <c r="O9" i="25" s="1"/>
  <c r="O22" i="25"/>
  <c r="O23" i="25" s="1"/>
  <c r="H23" i="25"/>
  <c r="A22" i="25"/>
  <c r="M22" i="25"/>
  <c r="K22" i="25" s="1"/>
  <c r="H22" i="25" s="1"/>
  <c r="A8" i="25"/>
  <c r="A13" i="25"/>
  <c r="G3" i="25"/>
  <c r="H3" i="25" s="1"/>
  <c r="A4" i="25"/>
  <c r="A5" i="25"/>
  <c r="A6" i="25"/>
  <c r="A7" i="25"/>
  <c r="A10" i="25"/>
  <c r="A14" i="25"/>
  <c r="A15" i="25"/>
  <c r="A16" i="25"/>
  <c r="A17" i="25"/>
  <c r="A18" i="25"/>
  <c r="A19" i="25"/>
  <c r="A20" i="25"/>
  <c r="A21" i="25"/>
  <c r="L70" i="10"/>
  <c r="L69" i="10"/>
  <c r="L68" i="10"/>
  <c r="L67" i="10"/>
  <c r="D67" i="10"/>
  <c r="E67" i="10" s="1"/>
  <c r="B67" i="10"/>
  <c r="M66" i="10"/>
  <c r="L66" i="10"/>
  <c r="D66" i="10"/>
  <c r="B66" i="10"/>
  <c r="M65" i="10"/>
  <c r="L65" i="10"/>
  <c r="D65" i="10"/>
  <c r="B65" i="10"/>
  <c r="M64" i="10"/>
  <c r="L64" i="10"/>
  <c r="D64" i="10"/>
  <c r="B64" i="10"/>
  <c r="M63" i="10"/>
  <c r="L63" i="10"/>
  <c r="D63" i="10"/>
  <c r="B63" i="10"/>
  <c r="M62" i="10"/>
  <c r="L62" i="10"/>
  <c r="D62" i="10"/>
  <c r="B62" i="10"/>
  <c r="M61" i="10"/>
  <c r="L61" i="10"/>
  <c r="D61" i="10"/>
  <c r="B61" i="10"/>
  <c r="M60" i="10"/>
  <c r="L60" i="10"/>
  <c r="L53" i="10"/>
  <c r="L52" i="10"/>
  <c r="L51" i="10"/>
  <c r="L50" i="10"/>
  <c r="D50" i="10"/>
  <c r="E50" i="10" s="1"/>
  <c r="B50" i="10"/>
  <c r="L49" i="10"/>
  <c r="D49" i="10"/>
  <c r="E49" i="10" s="1"/>
  <c r="B49" i="10"/>
  <c r="M48" i="10"/>
  <c r="L48" i="10"/>
  <c r="D48" i="10"/>
  <c r="B48" i="10"/>
  <c r="M47" i="10"/>
  <c r="L47" i="10"/>
  <c r="D47" i="10"/>
  <c r="B47" i="10"/>
  <c r="M46" i="10"/>
  <c r="L46" i="10"/>
  <c r="D46" i="10"/>
  <c r="B46" i="10"/>
  <c r="M45" i="10"/>
  <c r="L45" i="10"/>
  <c r="D45" i="10"/>
  <c r="B45" i="10"/>
  <c r="M44" i="10"/>
  <c r="L44" i="10"/>
  <c r="D44" i="10"/>
  <c r="B44" i="10"/>
  <c r="M43" i="10"/>
  <c r="L43" i="10"/>
  <c r="L36" i="10"/>
  <c r="L35" i="10"/>
  <c r="L34" i="10"/>
  <c r="L33" i="10"/>
  <c r="D33" i="10"/>
  <c r="E33" i="10" s="1"/>
  <c r="B33" i="10"/>
  <c r="M32" i="10"/>
  <c r="L32" i="10"/>
  <c r="D32" i="10"/>
  <c r="B32" i="10"/>
  <c r="M31" i="10"/>
  <c r="L31" i="10"/>
  <c r="D31" i="10"/>
  <c r="B31" i="10"/>
  <c r="M30" i="10"/>
  <c r="L30" i="10"/>
  <c r="D30" i="10"/>
  <c r="B30" i="10"/>
  <c r="M29" i="10"/>
  <c r="L29" i="10"/>
  <c r="D29" i="10"/>
  <c r="B29" i="10"/>
  <c r="M28" i="10"/>
  <c r="L28" i="10"/>
  <c r="D28" i="10"/>
  <c r="B28" i="10"/>
  <c r="M27" i="10"/>
  <c r="L27" i="10"/>
  <c r="D27" i="10"/>
  <c r="B27" i="10"/>
  <c r="M26" i="10"/>
  <c r="L26" i="10"/>
  <c r="D26" i="10"/>
  <c r="B26" i="10"/>
  <c r="M25" i="10"/>
  <c r="L25" i="10"/>
  <c r="D25" i="10"/>
  <c r="B25" i="10"/>
  <c r="M24" i="10"/>
  <c r="L24" i="10"/>
  <c r="D24" i="10"/>
  <c r="B24" i="10"/>
  <c r="M23" i="10"/>
  <c r="L23" i="10"/>
  <c r="D23" i="10"/>
  <c r="B23" i="10"/>
  <c r="M22" i="10"/>
  <c r="L22" i="10"/>
  <c r="L15" i="10"/>
  <c r="L14" i="10"/>
  <c r="L13" i="10"/>
  <c r="L12" i="10"/>
  <c r="D12" i="10"/>
  <c r="E12" i="10" s="1"/>
  <c r="B12" i="10"/>
  <c r="M11" i="10"/>
  <c r="L11" i="10"/>
  <c r="D11" i="10"/>
  <c r="B11" i="10"/>
  <c r="M10" i="10"/>
  <c r="L10" i="10"/>
  <c r="D10" i="10"/>
  <c r="B10" i="10"/>
  <c r="M7" i="10"/>
  <c r="L7" i="10"/>
  <c r="D7" i="10"/>
  <c r="B7" i="10"/>
  <c r="M6" i="10"/>
  <c r="L6" i="10"/>
  <c r="D6" i="10"/>
  <c r="B6" i="10"/>
  <c r="M5" i="10"/>
  <c r="L5" i="10"/>
  <c r="D5" i="10"/>
  <c r="B5" i="10"/>
  <c r="M4" i="10"/>
  <c r="L4" i="10"/>
  <c r="D4" i="10"/>
  <c r="B4" i="10"/>
  <c r="M3" i="10"/>
  <c r="L3" i="10"/>
  <c r="L75" i="10"/>
  <c r="L74" i="10"/>
  <c r="J73" i="10"/>
  <c r="O72" i="10"/>
  <c r="O73" i="10" s="1"/>
  <c r="L72" i="10"/>
  <c r="L73" i="10" s="1"/>
  <c r="J72" i="10"/>
  <c r="J70" i="10"/>
  <c r="E70" i="10"/>
  <c r="O69" i="10"/>
  <c r="J69" i="10"/>
  <c r="F69" i="10"/>
  <c r="E69" i="10"/>
  <c r="O68" i="10"/>
  <c r="J68" i="10"/>
  <c r="F68" i="10"/>
  <c r="E68" i="10"/>
  <c r="J67" i="10"/>
  <c r="J66" i="10"/>
  <c r="J65" i="10"/>
  <c r="J64" i="10"/>
  <c r="J63" i="10"/>
  <c r="J62" i="10"/>
  <c r="J61" i="10"/>
  <c r="O60" i="10"/>
  <c r="J60" i="10"/>
  <c r="E60" i="10"/>
  <c r="H59" i="10"/>
  <c r="I59" i="10" s="1"/>
  <c r="L58" i="10"/>
  <c r="L57" i="10"/>
  <c r="O56" i="10"/>
  <c r="J56" i="10"/>
  <c r="O55" i="10"/>
  <c r="M55" i="10"/>
  <c r="L55" i="10"/>
  <c r="L56" i="10" s="1"/>
  <c r="J55" i="10"/>
  <c r="O53" i="10"/>
  <c r="J53" i="10"/>
  <c r="F53" i="10"/>
  <c r="E53" i="10"/>
  <c r="O52" i="10"/>
  <c r="J52" i="10"/>
  <c r="F52" i="10"/>
  <c r="E52" i="10"/>
  <c r="O51" i="10"/>
  <c r="J51" i="10"/>
  <c r="F51" i="10"/>
  <c r="E51" i="10"/>
  <c r="J50" i="10"/>
  <c r="J49" i="10"/>
  <c r="J48" i="10"/>
  <c r="J47" i="10"/>
  <c r="J46" i="10"/>
  <c r="J45" i="10"/>
  <c r="J44" i="10"/>
  <c r="O43" i="10"/>
  <c r="J43" i="10"/>
  <c r="E43" i="10"/>
  <c r="H42" i="10"/>
  <c r="I42" i="10" s="1"/>
  <c r="L41" i="10"/>
  <c r="L40" i="10"/>
  <c r="O39" i="10"/>
  <c r="J39" i="10"/>
  <c r="O38" i="10"/>
  <c r="M38" i="10"/>
  <c r="L38" i="10"/>
  <c r="L39" i="10" s="1"/>
  <c r="J38" i="10"/>
  <c r="O36" i="10"/>
  <c r="J36" i="10"/>
  <c r="F36" i="10"/>
  <c r="E36" i="10"/>
  <c r="O35" i="10"/>
  <c r="J35" i="10"/>
  <c r="F35" i="10"/>
  <c r="E35" i="10"/>
  <c r="O34" i="10"/>
  <c r="J34" i="10"/>
  <c r="F34" i="10"/>
  <c r="E34" i="10"/>
  <c r="J33" i="10"/>
  <c r="J32" i="10"/>
  <c r="J31" i="10"/>
  <c r="J30" i="10"/>
  <c r="J29" i="10"/>
  <c r="J28" i="10"/>
  <c r="J27" i="10"/>
  <c r="J26" i="10"/>
  <c r="J25" i="10"/>
  <c r="J24" i="10"/>
  <c r="J23" i="10"/>
  <c r="O22" i="10"/>
  <c r="J22" i="10"/>
  <c r="E22" i="10"/>
  <c r="H21" i="10"/>
  <c r="I21" i="10" s="1"/>
  <c r="L20" i="10"/>
  <c r="L19" i="10"/>
  <c r="O18" i="10"/>
  <c r="L18" i="10"/>
  <c r="J18" i="10"/>
  <c r="O17" i="10"/>
  <c r="M17" i="10"/>
  <c r="K17" i="10" s="1"/>
  <c r="H17" i="10" s="1"/>
  <c r="L17" i="10"/>
  <c r="J17" i="10"/>
  <c r="O15" i="10"/>
  <c r="J15" i="10"/>
  <c r="F15" i="10"/>
  <c r="E15" i="10"/>
  <c r="O14" i="10"/>
  <c r="J14" i="10"/>
  <c r="F14" i="10"/>
  <c r="E14" i="10"/>
  <c r="O13" i="10"/>
  <c r="F13" i="10" s="1"/>
  <c r="J13" i="10"/>
  <c r="E13" i="10"/>
  <c r="J12" i="10"/>
  <c r="J11" i="10"/>
  <c r="J10" i="10"/>
  <c r="K9" i="10"/>
  <c r="G9" i="10" s="1"/>
  <c r="H9" i="10" s="1"/>
  <c r="J9" i="10"/>
  <c r="K8" i="10"/>
  <c r="J8" i="10"/>
  <c r="J7" i="10"/>
  <c r="J6" i="10"/>
  <c r="A24" i="10" s="1"/>
  <c r="J5" i="10"/>
  <c r="A5" i="10"/>
  <c r="J4" i="10"/>
  <c r="A4" i="10"/>
  <c r="O3" i="10"/>
  <c r="J3" i="10"/>
  <c r="A68" i="10" s="1"/>
  <c r="E3" i="10"/>
  <c r="A3" i="10"/>
  <c r="H2" i="10"/>
  <c r="I2" i="10" s="1"/>
  <c r="A2" i="10"/>
  <c r="K45" i="10" l="1"/>
  <c r="G45" i="10" s="1"/>
  <c r="H45" i="10" s="1"/>
  <c r="E46" i="10"/>
  <c r="E48" i="10"/>
  <c r="K64" i="10"/>
  <c r="G64" i="10" s="1"/>
  <c r="H64" i="10" s="1"/>
  <c r="K22" i="10"/>
  <c r="G22" i="10" s="1"/>
  <c r="H22" i="10" s="1"/>
  <c r="K24" i="10"/>
  <c r="G24" i="10" s="1"/>
  <c r="H24" i="10" s="1"/>
  <c r="K28" i="10"/>
  <c r="G28" i="10" s="1"/>
  <c r="H28" i="10" s="1"/>
  <c r="K32" i="10"/>
  <c r="G32" i="10" s="1"/>
  <c r="H32" i="10" s="1"/>
  <c r="K46" i="10"/>
  <c r="G46" i="10" s="1"/>
  <c r="H46" i="10" s="1"/>
  <c r="K63" i="10"/>
  <c r="G63" i="10" s="1"/>
  <c r="H63" i="10" s="1"/>
  <c r="E25" i="10"/>
  <c r="E26" i="10"/>
  <c r="E29" i="10"/>
  <c r="E30" i="10"/>
  <c r="E32" i="10"/>
  <c r="E44" i="10"/>
  <c r="E45" i="10"/>
  <c r="E47" i="10"/>
  <c r="E62" i="10"/>
  <c r="E63" i="10"/>
  <c r="E64" i="10"/>
  <c r="E65" i="10"/>
  <c r="E6" i="10"/>
  <c r="E61" i="10"/>
  <c r="E66" i="10"/>
  <c r="K29" i="10"/>
  <c r="G29" i="10" s="1"/>
  <c r="H29" i="10" s="1"/>
  <c r="K31" i="10"/>
  <c r="G31" i="10" s="1"/>
  <c r="H31" i="10" s="1"/>
  <c r="K47" i="10"/>
  <c r="G47" i="10" s="1"/>
  <c r="H47" i="10" s="1"/>
  <c r="K60" i="10"/>
  <c r="G60" i="10" s="1"/>
  <c r="H60" i="10" s="1"/>
  <c r="K4" i="10"/>
  <c r="G4" i="10" s="1"/>
  <c r="H4" i="10" s="1"/>
  <c r="K7" i="10"/>
  <c r="G7" i="10" s="1"/>
  <c r="H7" i="10" s="1"/>
  <c r="K10" i="10"/>
  <c r="G10" i="10" s="1"/>
  <c r="H10" i="10" s="1"/>
  <c r="K23" i="10"/>
  <c r="G23" i="10" s="1"/>
  <c r="H23" i="10" s="1"/>
  <c r="K25" i="10"/>
  <c r="G25" i="10" s="1"/>
  <c r="H25" i="10" s="1"/>
  <c r="K27" i="10"/>
  <c r="G27" i="10" s="1"/>
  <c r="H27" i="10" s="1"/>
  <c r="E4" i="10"/>
  <c r="E7" i="10"/>
  <c r="E10" i="10"/>
  <c r="E23" i="10"/>
  <c r="E27" i="10"/>
  <c r="E28" i="10"/>
  <c r="E31" i="10"/>
  <c r="K3" i="10"/>
  <c r="G3" i="10" s="1"/>
  <c r="H3" i="10" s="1"/>
  <c r="K6" i="10"/>
  <c r="G6" i="10" s="1"/>
  <c r="H6" i="10" s="1"/>
  <c r="K26" i="10"/>
  <c r="G26" i="10" s="1"/>
  <c r="H26" i="10" s="1"/>
  <c r="K30" i="10"/>
  <c r="G30" i="10" s="1"/>
  <c r="H30" i="10" s="1"/>
  <c r="K43" i="10"/>
  <c r="G43" i="10" s="1"/>
  <c r="H43" i="10" s="1"/>
  <c r="K44" i="10"/>
  <c r="G44" i="10" s="1"/>
  <c r="H44" i="10" s="1"/>
  <c r="K48" i="10"/>
  <c r="G48" i="10" s="1"/>
  <c r="H48" i="10" s="1"/>
  <c r="K61" i="10"/>
  <c r="G61" i="10" s="1"/>
  <c r="H61" i="10" s="1"/>
  <c r="K62" i="10"/>
  <c r="G62" i="10" s="1"/>
  <c r="H62" i="10" s="1"/>
  <c r="K65" i="10"/>
  <c r="G65" i="10" s="1"/>
  <c r="H65" i="10" s="1"/>
  <c r="K66" i="10"/>
  <c r="G66" i="10" s="1"/>
  <c r="H66" i="10" s="1"/>
  <c r="I7" i="25"/>
  <c r="K10" i="25" s="1"/>
  <c r="H10" i="25" s="1"/>
  <c r="K11" i="25" s="1"/>
  <c r="H11" i="25" s="1"/>
  <c r="K24" i="25"/>
  <c r="H24" i="25" s="1"/>
  <c r="K25" i="25" s="1"/>
  <c r="H25" i="25" s="1"/>
  <c r="E5" i="10"/>
  <c r="A17" i="10"/>
  <c r="E11" i="10"/>
  <c r="K5" i="10"/>
  <c r="G5" i="10" s="1"/>
  <c r="H5" i="10" s="1"/>
  <c r="A8" i="10"/>
  <c r="A10" i="10"/>
  <c r="K11" i="10"/>
  <c r="G11" i="10" s="1"/>
  <c r="H11" i="10" s="1"/>
  <c r="A14" i="10"/>
  <c r="A27" i="10"/>
  <c r="G8" i="10"/>
  <c r="H8" i="10" s="1"/>
  <c r="A11" i="10"/>
  <c r="A15" i="10"/>
  <c r="A18" i="10"/>
  <c r="E24" i="10"/>
  <c r="A23" i="10"/>
  <c r="A6" i="10"/>
  <c r="A9" i="10"/>
  <c r="A12" i="10"/>
  <c r="A16" i="10"/>
  <c r="A19" i="10"/>
  <c r="M18" i="10" s="1"/>
  <c r="K18" i="10" s="1"/>
  <c r="H18" i="10" s="1"/>
  <c r="A20" i="10"/>
  <c r="A21" i="10"/>
  <c r="A22" i="10"/>
  <c r="A25" i="10"/>
  <c r="A29" i="10"/>
  <c r="A33" i="10"/>
  <c r="A37" i="10"/>
  <c r="A40" i="10"/>
  <c r="A41" i="10"/>
  <c r="A42" i="10"/>
  <c r="A43" i="10"/>
  <c r="A46" i="10"/>
  <c r="A50" i="10"/>
  <c r="A54" i="10"/>
  <c r="A57" i="10"/>
  <c r="A58" i="10"/>
  <c r="A59" i="10"/>
  <c r="A60" i="10"/>
  <c r="A63" i="10"/>
  <c r="A67" i="10"/>
  <c r="A71" i="10"/>
  <c r="A74" i="10"/>
  <c r="A75" i="10"/>
  <c r="A28" i="10"/>
  <c r="A32" i="10"/>
  <c r="A36" i="10"/>
  <c r="K38" i="10"/>
  <c r="H38" i="10" s="1"/>
  <c r="A39" i="10"/>
  <c r="A45" i="10"/>
  <c r="A49" i="10"/>
  <c r="A53" i="10"/>
  <c r="K55" i="10"/>
  <c r="H55" i="10" s="1"/>
  <c r="A56" i="10"/>
  <c r="A62" i="10"/>
  <c r="A66" i="10"/>
  <c r="A70" i="10"/>
  <c r="A73" i="10"/>
  <c r="A31" i="10"/>
  <c r="A35" i="10"/>
  <c r="A38" i="10"/>
  <c r="A44" i="10"/>
  <c r="A48" i="10"/>
  <c r="A52" i="10"/>
  <c r="A55" i="10"/>
  <c r="A61" i="10"/>
  <c r="A65" i="10"/>
  <c r="A69" i="10"/>
  <c r="A72" i="10"/>
  <c r="A7" i="10"/>
  <c r="A13" i="10"/>
  <c r="A26" i="10"/>
  <c r="A30" i="10"/>
  <c r="A34" i="10"/>
  <c r="A47" i="10"/>
  <c r="A51" i="10"/>
  <c r="A64" i="10"/>
  <c r="O70" i="10"/>
  <c r="F70" i="10" s="1"/>
  <c r="M72" i="10"/>
  <c r="K72" i="10" s="1"/>
  <c r="H72" i="10" s="1"/>
  <c r="N68" i="10"/>
  <c r="N10" i="10"/>
  <c r="N61" i="10"/>
  <c r="N64" i="10"/>
  <c r="N69" i="10"/>
  <c r="N3" i="10"/>
  <c r="N23" i="10"/>
  <c r="N8" i="10"/>
  <c r="N5" i="10"/>
  <c r="N70" i="10"/>
  <c r="N30" i="10"/>
  <c r="N50" i="10"/>
  <c r="N31" i="10"/>
  <c r="N65" i="10"/>
  <c r="N47" i="10"/>
  <c r="N6" i="10"/>
  <c r="N46" i="10"/>
  <c r="N28" i="10"/>
  <c r="N13" i="10"/>
  <c r="N33" i="10"/>
  <c r="N43" i="10"/>
  <c r="N9" i="10"/>
  <c r="N26" i="10"/>
  <c r="N49" i="10"/>
  <c r="N34" i="10"/>
  <c r="N45" i="10"/>
  <c r="N32" i="10"/>
  <c r="N36" i="10"/>
  <c r="N53" i="10"/>
  <c r="N60" i="10"/>
  <c r="N15" i="10"/>
  <c r="N67" i="10"/>
  <c r="N22" i="10"/>
  <c r="N25" i="10"/>
  <c r="N52" i="10"/>
  <c r="N29" i="10"/>
  <c r="N4" i="10"/>
  <c r="N48" i="10"/>
  <c r="N62" i="10"/>
  <c r="N24" i="10"/>
  <c r="N12" i="10"/>
  <c r="N63" i="10"/>
  <c r="N7" i="10"/>
  <c r="N14" i="10"/>
  <c r="N44" i="10"/>
  <c r="N51" i="10"/>
  <c r="N27" i="10"/>
  <c r="N11" i="10"/>
  <c r="N35" i="10"/>
  <c r="N66" i="10"/>
  <c r="M50" i="10" l="1"/>
  <c r="K50" i="10" s="1"/>
  <c r="G50" i="10" s="1"/>
  <c r="H50" i="10" s="1"/>
  <c r="G2" i="25"/>
  <c r="G12" i="25"/>
  <c r="M56" i="10"/>
  <c r="K56" i="10" s="1"/>
  <c r="H56" i="10" s="1"/>
  <c r="M73" i="10"/>
  <c r="K73" i="10" s="1"/>
  <c r="H73" i="10" s="1"/>
  <c r="M39" i="10"/>
  <c r="K39" i="10" s="1"/>
  <c r="H39" i="10" s="1"/>
  <c r="M49" i="10"/>
  <c r="K49" i="10" s="1"/>
  <c r="G49" i="10" s="1"/>
  <c r="H49" i="10" s="1"/>
  <c r="M12" i="10"/>
  <c r="K12" i="10" s="1"/>
  <c r="G12" i="10" s="1"/>
  <c r="H12" i="10" s="1"/>
  <c r="M69" i="10" l="1"/>
  <c r="K69" i="10" s="1"/>
  <c r="G69" i="10" s="1"/>
  <c r="H69" i="10" s="1"/>
  <c r="M67" i="10"/>
  <c r="K67" i="10" s="1"/>
  <c r="G67" i="10" s="1"/>
  <c r="H67" i="10" s="1"/>
  <c r="M52" i="10"/>
  <c r="K52" i="10" s="1"/>
  <c r="G52" i="10" s="1"/>
  <c r="H52" i="10" s="1"/>
  <c r="M35" i="10"/>
  <c r="K35" i="10" s="1"/>
  <c r="G35" i="10" s="1"/>
  <c r="H35" i="10" s="1"/>
  <c r="M34" i="10"/>
  <c r="K34" i="10" s="1"/>
  <c r="G34" i="10" s="1"/>
  <c r="H34" i="10" s="1"/>
  <c r="M68" i="10"/>
  <c r="K68" i="10" s="1"/>
  <c r="G68" i="10" s="1"/>
  <c r="H68" i="10" s="1"/>
  <c r="M51" i="10"/>
  <c r="K51" i="10" s="1"/>
  <c r="G51" i="10" s="1"/>
  <c r="H51" i="10" s="1"/>
  <c r="M33" i="10"/>
  <c r="K33" i="10" s="1"/>
  <c r="G33" i="10" s="1"/>
  <c r="H33" i="10" s="1"/>
  <c r="M14" i="10"/>
  <c r="K14" i="10" s="1"/>
  <c r="G14" i="10" s="1"/>
  <c r="H14" i="10" s="1"/>
  <c r="M15" i="10"/>
  <c r="K15" i="10" s="1"/>
  <c r="G15" i="10" s="1"/>
  <c r="H15" i="10" s="1"/>
  <c r="M13" i="10"/>
  <c r="K13" i="10" s="1"/>
  <c r="G13" i="10" s="1"/>
  <c r="H13" i="10" s="1"/>
  <c r="M70" i="10"/>
  <c r="K70" i="10" s="1"/>
  <c r="G70" i="10" s="1"/>
  <c r="H70" i="10" s="1"/>
  <c r="M53" i="10"/>
  <c r="K53" i="10" s="1"/>
  <c r="G53" i="10" s="1"/>
  <c r="H53" i="10" s="1"/>
  <c r="M36" i="10"/>
  <c r="K36" i="10" s="1"/>
  <c r="G36" i="10" s="1"/>
  <c r="H36" i="10" s="1"/>
  <c r="D4" i="6"/>
  <c r="D5" i="6"/>
  <c r="I54" i="10" l="1"/>
  <c r="K57" i="10" s="1"/>
  <c r="H57" i="10" s="1"/>
  <c r="K58" i="10" s="1"/>
  <c r="H58" i="10" s="1"/>
  <c r="I71" i="10"/>
  <c r="K74" i="10" s="1"/>
  <c r="H74" i="10" s="1"/>
  <c r="K75" i="10" s="1"/>
  <c r="H75" i="10" s="1"/>
  <c r="G59" i="10" s="1"/>
  <c r="I16" i="10"/>
  <c r="K19" i="10" s="1"/>
  <c r="H19" i="10" s="1"/>
  <c r="K20" i="10" s="1"/>
  <c r="H20" i="10" s="1"/>
  <c r="G2" i="10" s="1"/>
  <c r="I37" i="10"/>
  <c r="K40" i="10" s="1"/>
  <c r="H40" i="10" s="1"/>
  <c r="K41" i="10" s="1"/>
  <c r="H41" i="10" s="1"/>
  <c r="G21" i="10" s="1"/>
  <c r="G42" i="10" l="1"/>
  <c r="I30" i="18"/>
  <c r="I327" i="17"/>
  <c r="L4" i="17"/>
  <c r="E10" i="13"/>
  <c r="E11" i="13"/>
  <c r="E12" i="13"/>
  <c r="F12" i="13"/>
  <c r="G12" i="13"/>
  <c r="H12" i="13"/>
  <c r="I12" i="13"/>
  <c r="B12" i="13"/>
  <c r="C12" i="13"/>
  <c r="L4" i="13"/>
  <c r="L4" i="12" l="1"/>
  <c r="J21" i="13" l="1"/>
  <c r="I21" i="13"/>
  <c r="J22" i="13"/>
  <c r="L893" i="7" l="1"/>
  <c r="L892" i="7"/>
  <c r="L891" i="7"/>
  <c r="M889" i="7"/>
  <c r="L889" i="7"/>
  <c r="D889" i="7"/>
  <c r="B889" i="7"/>
  <c r="M888" i="7"/>
  <c r="L888" i="7"/>
  <c r="D888" i="7"/>
  <c r="B888" i="7"/>
  <c r="M880" i="7"/>
  <c r="L880" i="7"/>
  <c r="D880" i="7"/>
  <c r="M879" i="7"/>
  <c r="L879" i="7"/>
  <c r="D879" i="7"/>
  <c r="M878" i="7"/>
  <c r="L878" i="7"/>
  <c r="D878" i="7"/>
  <c r="E878" i="7" s="1"/>
  <c r="M877" i="7"/>
  <c r="L877" i="7"/>
  <c r="D877" i="7"/>
  <c r="B877" i="7"/>
  <c r="M876" i="7"/>
  <c r="L876" i="7"/>
  <c r="D876" i="7"/>
  <c r="B876" i="7"/>
  <c r="M875" i="7"/>
  <c r="L875" i="7"/>
  <c r="D875" i="7"/>
  <c r="B875" i="7"/>
  <c r="M874" i="7"/>
  <c r="L874" i="7"/>
  <c r="D874" i="7"/>
  <c r="B874" i="7"/>
  <c r="M873" i="7"/>
  <c r="L873" i="7"/>
  <c r="D873" i="7"/>
  <c r="B873" i="7"/>
  <c r="M872" i="7"/>
  <c r="L872" i="7"/>
  <c r="D872" i="7"/>
  <c r="B872" i="7"/>
  <c r="M871" i="7"/>
  <c r="L871" i="7"/>
  <c r="D871" i="7"/>
  <c r="B871" i="7"/>
  <c r="M870" i="7"/>
  <c r="L870" i="7"/>
  <c r="D870" i="7"/>
  <c r="B870" i="7"/>
  <c r="L866" i="7"/>
  <c r="L865" i="7"/>
  <c r="M863" i="7"/>
  <c r="L863" i="7"/>
  <c r="D863" i="7"/>
  <c r="M862" i="7"/>
  <c r="L862" i="7"/>
  <c r="D862" i="7"/>
  <c r="E862" i="7" s="1"/>
  <c r="M861" i="7"/>
  <c r="L861" i="7"/>
  <c r="D861" i="7"/>
  <c r="M860" i="7"/>
  <c r="L860" i="7"/>
  <c r="D860" i="7"/>
  <c r="E860" i="7" s="1"/>
  <c r="B860" i="7"/>
  <c r="M859" i="7"/>
  <c r="L859" i="7"/>
  <c r="D859" i="7"/>
  <c r="B859" i="7"/>
  <c r="M858" i="7"/>
  <c r="L858" i="7"/>
  <c r="D858" i="7"/>
  <c r="B858" i="7"/>
  <c r="M857" i="7"/>
  <c r="L857" i="7"/>
  <c r="D857" i="7"/>
  <c r="B857" i="7"/>
  <c r="M856" i="7"/>
  <c r="L856" i="7"/>
  <c r="D856" i="7"/>
  <c r="B856" i="7"/>
  <c r="M855" i="7"/>
  <c r="L855" i="7"/>
  <c r="D855" i="7"/>
  <c r="B855" i="7"/>
  <c r="M854" i="7"/>
  <c r="L854" i="7"/>
  <c r="D854" i="7"/>
  <c r="B854" i="7"/>
  <c r="M853" i="7"/>
  <c r="L853" i="7"/>
  <c r="D853" i="7"/>
  <c r="B853" i="7"/>
  <c r="M852" i="7"/>
  <c r="L852" i="7"/>
  <c r="D852" i="7"/>
  <c r="B852" i="7"/>
  <c r="L848" i="7"/>
  <c r="L847" i="7"/>
  <c r="M845" i="7"/>
  <c r="L845" i="7"/>
  <c r="D845" i="7"/>
  <c r="E845" i="7" s="1"/>
  <c r="M844" i="7"/>
  <c r="L844" i="7"/>
  <c r="D844" i="7"/>
  <c r="M843" i="7"/>
  <c r="L843" i="7"/>
  <c r="D843" i="7"/>
  <c r="E843" i="7" s="1"/>
  <c r="M842" i="7"/>
  <c r="L842" i="7"/>
  <c r="D842" i="7"/>
  <c r="B842" i="7"/>
  <c r="M841" i="7"/>
  <c r="L841" i="7"/>
  <c r="D841" i="7"/>
  <c r="B841" i="7"/>
  <c r="M840" i="7"/>
  <c r="L840" i="7"/>
  <c r="D840" i="7"/>
  <c r="B840" i="7"/>
  <c r="M839" i="7"/>
  <c r="L839" i="7"/>
  <c r="D839" i="7"/>
  <c r="B839" i="7"/>
  <c r="M838" i="7"/>
  <c r="L838" i="7"/>
  <c r="D838" i="7"/>
  <c r="B838" i="7"/>
  <c r="M837" i="7"/>
  <c r="L837" i="7"/>
  <c r="D837" i="7"/>
  <c r="B837" i="7"/>
  <c r="M836" i="7"/>
  <c r="L836" i="7"/>
  <c r="D836" i="7"/>
  <c r="B836" i="7"/>
  <c r="M835" i="7"/>
  <c r="L835" i="7"/>
  <c r="D835" i="7"/>
  <c r="B835" i="7"/>
  <c r="M834" i="7"/>
  <c r="D834" i="7"/>
  <c r="B834" i="7"/>
  <c r="M829" i="7"/>
  <c r="D829" i="7"/>
  <c r="B829" i="7"/>
  <c r="B828" i="7" s="1"/>
  <c r="L825" i="7"/>
  <c r="L824" i="7"/>
  <c r="M822" i="7"/>
  <c r="L822" i="7"/>
  <c r="D822" i="7"/>
  <c r="M821" i="7"/>
  <c r="L821" i="7"/>
  <c r="D821" i="7"/>
  <c r="E821" i="7" s="1"/>
  <c r="M820" i="7"/>
  <c r="L820" i="7"/>
  <c r="D820" i="7"/>
  <c r="B820" i="7"/>
  <c r="M818" i="7"/>
  <c r="L818" i="7"/>
  <c r="D818" i="7"/>
  <c r="B818" i="7"/>
  <c r="M817" i="7"/>
  <c r="L817" i="7"/>
  <c r="D817" i="7"/>
  <c r="B817" i="7"/>
  <c r="M816" i="7"/>
  <c r="L816" i="7"/>
  <c r="D816" i="7"/>
  <c r="B816" i="7"/>
  <c r="M815" i="7"/>
  <c r="L815" i="7"/>
  <c r="D815" i="7"/>
  <c r="B815" i="7"/>
  <c r="M814" i="7"/>
  <c r="L814" i="7"/>
  <c r="D814" i="7"/>
  <c r="B814" i="7"/>
  <c r="M813" i="7"/>
  <c r="L813" i="7"/>
  <c r="D813" i="7"/>
  <c r="B813" i="7"/>
  <c r="M812" i="7"/>
  <c r="L812" i="7"/>
  <c r="D812" i="7"/>
  <c r="B812" i="7"/>
  <c r="M811" i="7"/>
  <c r="L811" i="7"/>
  <c r="D811" i="7"/>
  <c r="B811" i="7"/>
  <c r="M810" i="7"/>
  <c r="L810" i="7"/>
  <c r="D810" i="7"/>
  <c r="B810" i="7"/>
  <c r="M809" i="7"/>
  <c r="L809" i="7"/>
  <c r="D809" i="7"/>
  <c r="B809" i="7"/>
  <c r="L805" i="7"/>
  <c r="L804" i="7"/>
  <c r="M802" i="7"/>
  <c r="L802" i="7"/>
  <c r="D802" i="7"/>
  <c r="M801" i="7"/>
  <c r="L801" i="7"/>
  <c r="D801" i="7"/>
  <c r="E801" i="7" s="1"/>
  <c r="M800" i="7"/>
  <c r="L800" i="7"/>
  <c r="D800" i="7"/>
  <c r="B800" i="7"/>
  <c r="M799" i="7"/>
  <c r="L799" i="7"/>
  <c r="D799" i="7"/>
  <c r="E799" i="7" s="1"/>
  <c r="B799" i="7"/>
  <c r="M797" i="7"/>
  <c r="L797" i="7"/>
  <c r="D797" i="7"/>
  <c r="B797" i="7"/>
  <c r="M796" i="7"/>
  <c r="L796" i="7"/>
  <c r="D796" i="7"/>
  <c r="B796" i="7"/>
  <c r="M795" i="7"/>
  <c r="L795" i="7"/>
  <c r="D795" i="7"/>
  <c r="B795" i="7"/>
  <c r="M794" i="7"/>
  <c r="L794" i="7"/>
  <c r="D794" i="7"/>
  <c r="B794" i="7"/>
  <c r="M793" i="7"/>
  <c r="L793" i="7"/>
  <c r="D793" i="7"/>
  <c r="B793" i="7"/>
  <c r="M792" i="7"/>
  <c r="L792" i="7"/>
  <c r="D792" i="7"/>
  <c r="B792" i="7"/>
  <c r="M791" i="7"/>
  <c r="L791" i="7"/>
  <c r="D791" i="7"/>
  <c r="B791" i="7"/>
  <c r="M790" i="7"/>
  <c r="L790" i="7"/>
  <c r="D790" i="7"/>
  <c r="B790" i="7"/>
  <c r="M789" i="7"/>
  <c r="L789" i="7"/>
  <c r="D789" i="7"/>
  <c r="B789" i="7"/>
  <c r="M788" i="7"/>
  <c r="L788" i="7"/>
  <c r="D788" i="7"/>
  <c r="B788" i="7"/>
  <c r="M787" i="7"/>
  <c r="L787" i="7"/>
  <c r="D787" i="7"/>
  <c r="B787" i="7"/>
  <c r="M786" i="7"/>
  <c r="L786" i="7"/>
  <c r="D786" i="7"/>
  <c r="B786" i="7"/>
  <c r="L782" i="7"/>
  <c r="L781" i="7"/>
  <c r="L780" i="7"/>
  <c r="K780" i="7" s="1"/>
  <c r="M778" i="7"/>
  <c r="L778" i="7"/>
  <c r="D778" i="7"/>
  <c r="B778" i="7"/>
  <c r="M777" i="7"/>
  <c r="L777" i="7"/>
  <c r="D777" i="7"/>
  <c r="B777" i="7"/>
  <c r="M769" i="7"/>
  <c r="L769" i="7"/>
  <c r="D769" i="7"/>
  <c r="M768" i="7"/>
  <c r="L768" i="7"/>
  <c r="D768" i="7"/>
  <c r="M767" i="7"/>
  <c r="L767" i="7"/>
  <c r="D767" i="7"/>
  <c r="E767" i="7" s="1"/>
  <c r="M766" i="7"/>
  <c r="L766" i="7"/>
  <c r="D766" i="7"/>
  <c r="B766" i="7"/>
  <c r="M765" i="7"/>
  <c r="L765" i="7"/>
  <c r="D765" i="7"/>
  <c r="E765" i="7" s="1"/>
  <c r="B765" i="7"/>
  <c r="M764" i="7"/>
  <c r="L764" i="7"/>
  <c r="D764" i="7"/>
  <c r="B764" i="7"/>
  <c r="M763" i="7"/>
  <c r="L763" i="7"/>
  <c r="D763" i="7"/>
  <c r="B763" i="7"/>
  <c r="M762" i="7"/>
  <c r="L762" i="7"/>
  <c r="D762" i="7"/>
  <c r="B762" i="7"/>
  <c r="M761" i="7"/>
  <c r="L761" i="7"/>
  <c r="D761" i="7"/>
  <c r="B761" i="7"/>
  <c r="M760" i="7"/>
  <c r="L760" i="7"/>
  <c r="D760" i="7"/>
  <c r="B760" i="7"/>
  <c r="M759" i="7"/>
  <c r="L759" i="7"/>
  <c r="D759" i="7"/>
  <c r="B759" i="7"/>
  <c r="L755" i="7"/>
  <c r="L754" i="7"/>
  <c r="M752" i="7"/>
  <c r="L752" i="7"/>
  <c r="D752" i="7"/>
  <c r="M751" i="7"/>
  <c r="L751" i="7"/>
  <c r="D751" i="7"/>
  <c r="E751" i="7" s="1"/>
  <c r="M750" i="7"/>
  <c r="L750" i="7"/>
  <c r="D750" i="7"/>
  <c r="E750" i="7" s="1"/>
  <c r="M749" i="7"/>
  <c r="L749" i="7"/>
  <c r="D749" i="7"/>
  <c r="B749" i="7"/>
  <c r="M748" i="7"/>
  <c r="L748" i="7"/>
  <c r="D748" i="7"/>
  <c r="B748" i="7"/>
  <c r="M747" i="7"/>
  <c r="L747" i="7"/>
  <c r="D747" i="7"/>
  <c r="B747" i="7"/>
  <c r="M746" i="7"/>
  <c r="L746" i="7"/>
  <c r="D746" i="7"/>
  <c r="B746" i="7"/>
  <c r="M745" i="7"/>
  <c r="L745" i="7"/>
  <c r="D745" i="7"/>
  <c r="B745" i="7"/>
  <c r="M744" i="7"/>
  <c r="L744" i="7"/>
  <c r="D744" i="7"/>
  <c r="B744" i="7"/>
  <c r="M743" i="7"/>
  <c r="L743" i="7"/>
  <c r="D743" i="7"/>
  <c r="B743" i="7"/>
  <c r="M742" i="7"/>
  <c r="L742" i="7"/>
  <c r="D742" i="7"/>
  <c r="B742" i="7"/>
  <c r="M741" i="7"/>
  <c r="L741" i="7"/>
  <c r="D741" i="7"/>
  <c r="B741" i="7"/>
  <c r="L737" i="7"/>
  <c r="L736" i="7"/>
  <c r="M734" i="7"/>
  <c r="L734" i="7"/>
  <c r="D734" i="7"/>
  <c r="E734" i="7" s="1"/>
  <c r="M733" i="7"/>
  <c r="L733" i="7"/>
  <c r="D733" i="7"/>
  <c r="E733" i="7" s="1"/>
  <c r="M732" i="7"/>
  <c r="L732" i="7"/>
  <c r="D732" i="7"/>
  <c r="E732" i="7" s="1"/>
  <c r="M731" i="7"/>
  <c r="L731" i="7"/>
  <c r="D731" i="7"/>
  <c r="E731" i="7" s="1"/>
  <c r="B731" i="7"/>
  <c r="M730" i="7"/>
  <c r="L730" i="7"/>
  <c r="D730" i="7"/>
  <c r="B730" i="7"/>
  <c r="M729" i="7"/>
  <c r="L729" i="7"/>
  <c r="D729" i="7"/>
  <c r="B729" i="7"/>
  <c r="M728" i="7"/>
  <c r="L728" i="7"/>
  <c r="D728" i="7"/>
  <c r="B728" i="7"/>
  <c r="M727" i="7"/>
  <c r="L727" i="7"/>
  <c r="D727" i="7"/>
  <c r="B727" i="7"/>
  <c r="M726" i="7"/>
  <c r="L726" i="7"/>
  <c r="D726" i="7"/>
  <c r="B726" i="7"/>
  <c r="M725" i="7"/>
  <c r="L725" i="7"/>
  <c r="D725" i="7"/>
  <c r="B725" i="7"/>
  <c r="M724" i="7"/>
  <c r="L724" i="7"/>
  <c r="D724" i="7"/>
  <c r="B724" i="7"/>
  <c r="M723" i="7"/>
  <c r="K723" i="7" s="1"/>
  <c r="G723" i="7" s="1"/>
  <c r="H723" i="7" s="1"/>
  <c r="D723" i="7"/>
  <c r="B723" i="7"/>
  <c r="M718" i="7"/>
  <c r="D718" i="7"/>
  <c r="B718" i="7"/>
  <c r="B717" i="7" s="1"/>
  <c r="L714" i="7"/>
  <c r="L713" i="7"/>
  <c r="M711" i="7"/>
  <c r="L711" i="7"/>
  <c r="D711" i="7"/>
  <c r="E711" i="7" s="1"/>
  <c r="M710" i="7"/>
  <c r="L710" i="7"/>
  <c r="D710" i="7"/>
  <c r="E710" i="7" s="1"/>
  <c r="M709" i="7"/>
  <c r="L709" i="7"/>
  <c r="D709" i="7"/>
  <c r="E709" i="7" s="1"/>
  <c r="B709" i="7"/>
  <c r="M707" i="7"/>
  <c r="L707" i="7"/>
  <c r="D707" i="7"/>
  <c r="B707" i="7"/>
  <c r="M706" i="7"/>
  <c r="L706" i="7"/>
  <c r="D706" i="7"/>
  <c r="B706" i="7"/>
  <c r="M705" i="7"/>
  <c r="L705" i="7"/>
  <c r="D705" i="7"/>
  <c r="B705" i="7"/>
  <c r="M704" i="7"/>
  <c r="L704" i="7"/>
  <c r="D704" i="7"/>
  <c r="B704" i="7"/>
  <c r="M703" i="7"/>
  <c r="L703" i="7"/>
  <c r="D703" i="7"/>
  <c r="B703" i="7"/>
  <c r="M702" i="7"/>
  <c r="L702" i="7"/>
  <c r="D702" i="7"/>
  <c r="B702" i="7"/>
  <c r="M701" i="7"/>
  <c r="L701" i="7"/>
  <c r="D701" i="7"/>
  <c r="B701" i="7"/>
  <c r="M700" i="7"/>
  <c r="L700" i="7"/>
  <c r="D700" i="7"/>
  <c r="B700" i="7"/>
  <c r="M699" i="7"/>
  <c r="L699" i="7"/>
  <c r="D699" i="7"/>
  <c r="B699" i="7"/>
  <c r="M698" i="7"/>
  <c r="L698" i="7"/>
  <c r="D698" i="7"/>
  <c r="B698" i="7"/>
  <c r="L694" i="7"/>
  <c r="K694" i="7" s="1"/>
  <c r="L693" i="7"/>
  <c r="K693" i="7" s="1"/>
  <c r="M691" i="7"/>
  <c r="L691" i="7"/>
  <c r="D691" i="7"/>
  <c r="E691" i="7" s="1"/>
  <c r="M690" i="7"/>
  <c r="L690" i="7"/>
  <c r="D690" i="7"/>
  <c r="E690" i="7" s="1"/>
  <c r="M689" i="7"/>
  <c r="L689" i="7"/>
  <c r="D689" i="7"/>
  <c r="E689" i="7" s="1"/>
  <c r="B689" i="7"/>
  <c r="M688" i="7"/>
  <c r="L688" i="7"/>
  <c r="D688" i="7"/>
  <c r="E688" i="7" s="1"/>
  <c r="B688" i="7"/>
  <c r="M686" i="7"/>
  <c r="L686" i="7"/>
  <c r="D686" i="7"/>
  <c r="B686" i="7"/>
  <c r="M685" i="7"/>
  <c r="L685" i="7"/>
  <c r="D685" i="7"/>
  <c r="B685" i="7"/>
  <c r="M684" i="7"/>
  <c r="L684" i="7"/>
  <c r="D684" i="7"/>
  <c r="B684" i="7"/>
  <c r="M683" i="7"/>
  <c r="L683" i="7"/>
  <c r="D683" i="7"/>
  <c r="B683" i="7"/>
  <c r="M682" i="7"/>
  <c r="L682" i="7"/>
  <c r="D682" i="7"/>
  <c r="B682" i="7"/>
  <c r="M681" i="7"/>
  <c r="L681" i="7"/>
  <c r="D681" i="7"/>
  <c r="B681" i="7"/>
  <c r="M680" i="7"/>
  <c r="L680" i="7"/>
  <c r="D680" i="7"/>
  <c r="B680" i="7"/>
  <c r="M679" i="7"/>
  <c r="L679" i="7"/>
  <c r="D679" i="7"/>
  <c r="B679" i="7"/>
  <c r="M678" i="7"/>
  <c r="L678" i="7"/>
  <c r="D678" i="7"/>
  <c r="B678" i="7"/>
  <c r="M677" i="7"/>
  <c r="L677" i="7"/>
  <c r="D677" i="7"/>
  <c r="B677" i="7"/>
  <c r="M676" i="7"/>
  <c r="L676" i="7"/>
  <c r="D676" i="7"/>
  <c r="B676" i="7"/>
  <c r="M675" i="7"/>
  <c r="L675" i="7"/>
  <c r="D675" i="7"/>
  <c r="B675" i="7"/>
  <c r="L671" i="7"/>
  <c r="K671" i="7" s="1"/>
  <c r="H671" i="7" s="1"/>
  <c r="L670" i="7"/>
  <c r="K670" i="7" s="1"/>
  <c r="H670" i="7" s="1"/>
  <c r="L669" i="7"/>
  <c r="K669" i="7" s="1"/>
  <c r="H669" i="7" s="1"/>
  <c r="M667" i="7"/>
  <c r="L667" i="7"/>
  <c r="D667" i="7"/>
  <c r="B667" i="7"/>
  <c r="M666" i="7"/>
  <c r="L666" i="7"/>
  <c r="D666" i="7"/>
  <c r="E666" i="7" s="1"/>
  <c r="B666" i="7"/>
  <c r="M658" i="7"/>
  <c r="L658" i="7"/>
  <c r="D658" i="7"/>
  <c r="E658" i="7" s="1"/>
  <c r="M657" i="7"/>
  <c r="L657" i="7"/>
  <c r="D657" i="7"/>
  <c r="E657" i="7" s="1"/>
  <c r="M656" i="7"/>
  <c r="L656" i="7"/>
  <c r="D656" i="7"/>
  <c r="E656" i="7" s="1"/>
  <c r="M655" i="7"/>
  <c r="L655" i="7"/>
  <c r="D655" i="7"/>
  <c r="E655" i="7" s="1"/>
  <c r="B655" i="7"/>
  <c r="M654" i="7"/>
  <c r="L654" i="7"/>
  <c r="D654" i="7"/>
  <c r="E654" i="7" s="1"/>
  <c r="B654" i="7"/>
  <c r="M653" i="7"/>
  <c r="L653" i="7"/>
  <c r="D653" i="7"/>
  <c r="B653" i="7"/>
  <c r="M652" i="7"/>
  <c r="L652" i="7"/>
  <c r="D652" i="7"/>
  <c r="B652" i="7"/>
  <c r="M651" i="7"/>
  <c r="L651" i="7"/>
  <c r="D651" i="7"/>
  <c r="B651" i="7"/>
  <c r="M650" i="7"/>
  <c r="L650" i="7"/>
  <c r="D650" i="7"/>
  <c r="B650" i="7"/>
  <c r="M649" i="7"/>
  <c r="L649" i="7"/>
  <c r="D649" i="7"/>
  <c r="B649" i="7"/>
  <c r="M648" i="7"/>
  <c r="L648" i="7"/>
  <c r="D648" i="7"/>
  <c r="B648" i="7"/>
  <c r="L644" i="7"/>
  <c r="L643" i="7"/>
  <c r="M641" i="7"/>
  <c r="L641" i="7"/>
  <c r="D641" i="7"/>
  <c r="E641" i="7" s="1"/>
  <c r="M640" i="7"/>
  <c r="L640" i="7"/>
  <c r="D640" i="7"/>
  <c r="E640" i="7" s="1"/>
  <c r="M639" i="7"/>
  <c r="L639" i="7"/>
  <c r="D639" i="7"/>
  <c r="E639" i="7" s="1"/>
  <c r="M638" i="7"/>
  <c r="L638" i="7"/>
  <c r="D638" i="7"/>
  <c r="E638" i="7" s="1"/>
  <c r="B638" i="7"/>
  <c r="M637" i="7"/>
  <c r="L637" i="7"/>
  <c r="D637" i="7"/>
  <c r="B637" i="7"/>
  <c r="M636" i="7"/>
  <c r="L636" i="7"/>
  <c r="D636" i="7"/>
  <c r="B636" i="7"/>
  <c r="M635" i="7"/>
  <c r="L635" i="7"/>
  <c r="D635" i="7"/>
  <c r="B635" i="7"/>
  <c r="M634" i="7"/>
  <c r="L634" i="7"/>
  <c r="D634" i="7"/>
  <c r="B634" i="7"/>
  <c r="M633" i="7"/>
  <c r="L633" i="7"/>
  <c r="D633" i="7"/>
  <c r="B633" i="7"/>
  <c r="M632" i="7"/>
  <c r="L632" i="7"/>
  <c r="D632" i="7"/>
  <c r="B632" i="7"/>
  <c r="M631" i="7"/>
  <c r="L631" i="7"/>
  <c r="D631" i="7"/>
  <c r="B631" i="7"/>
  <c r="M630" i="7"/>
  <c r="L630" i="7"/>
  <c r="D630" i="7"/>
  <c r="B630" i="7"/>
  <c r="L626" i="7"/>
  <c r="L625" i="7"/>
  <c r="M623" i="7"/>
  <c r="L623" i="7"/>
  <c r="D623" i="7"/>
  <c r="E623" i="7" s="1"/>
  <c r="M622" i="7"/>
  <c r="L622" i="7"/>
  <c r="D622" i="7"/>
  <c r="E622" i="7" s="1"/>
  <c r="M621" i="7"/>
  <c r="L621" i="7"/>
  <c r="D621" i="7"/>
  <c r="E621" i="7" s="1"/>
  <c r="M620" i="7"/>
  <c r="L620" i="7"/>
  <c r="D620" i="7"/>
  <c r="E620" i="7" s="1"/>
  <c r="B620" i="7"/>
  <c r="M619" i="7"/>
  <c r="L619" i="7"/>
  <c r="D619" i="7"/>
  <c r="B619" i="7"/>
  <c r="M618" i="7"/>
  <c r="L618" i="7"/>
  <c r="D618" i="7"/>
  <c r="B618" i="7"/>
  <c r="M617" i="7"/>
  <c r="L617" i="7"/>
  <c r="D617" i="7"/>
  <c r="B617" i="7"/>
  <c r="M616" i="7"/>
  <c r="L616" i="7"/>
  <c r="D616" i="7"/>
  <c r="B616" i="7"/>
  <c r="M615" i="7"/>
  <c r="L615" i="7"/>
  <c r="D615" i="7"/>
  <c r="B615" i="7"/>
  <c r="M614" i="7"/>
  <c r="L614" i="7"/>
  <c r="D614" i="7"/>
  <c r="B614" i="7"/>
  <c r="M613" i="7"/>
  <c r="L613" i="7"/>
  <c r="D613" i="7"/>
  <c r="B613" i="7"/>
  <c r="M612" i="7"/>
  <c r="K612" i="7" s="1"/>
  <c r="G612" i="7" s="1"/>
  <c r="H612" i="7" s="1"/>
  <c r="D612" i="7"/>
  <c r="B612" i="7"/>
  <c r="M607" i="7"/>
  <c r="K607" i="7" s="1"/>
  <c r="G607" i="7" s="1"/>
  <c r="H607" i="7" s="1"/>
  <c r="D607" i="7"/>
  <c r="B607" i="7"/>
  <c r="B606" i="7" s="1"/>
  <c r="L603" i="7"/>
  <c r="L602" i="7"/>
  <c r="M600" i="7"/>
  <c r="L600" i="7"/>
  <c r="D600" i="7"/>
  <c r="E600" i="7" s="1"/>
  <c r="M599" i="7"/>
  <c r="L599" i="7"/>
  <c r="D599" i="7"/>
  <c r="E599" i="7" s="1"/>
  <c r="M598" i="7"/>
  <c r="L598" i="7"/>
  <c r="D598" i="7"/>
  <c r="E598" i="7" s="1"/>
  <c r="B598" i="7"/>
  <c r="M596" i="7"/>
  <c r="L596" i="7"/>
  <c r="D596" i="7"/>
  <c r="B596" i="7"/>
  <c r="M595" i="7"/>
  <c r="L595" i="7"/>
  <c r="D595" i="7"/>
  <c r="B595" i="7"/>
  <c r="M594" i="7"/>
  <c r="L594" i="7"/>
  <c r="D594" i="7"/>
  <c r="B594" i="7"/>
  <c r="M593" i="7"/>
  <c r="L593" i="7"/>
  <c r="D593" i="7"/>
  <c r="B593" i="7"/>
  <c r="M592" i="7"/>
  <c r="L592" i="7"/>
  <c r="D592" i="7"/>
  <c r="B592" i="7"/>
  <c r="M591" i="7"/>
  <c r="L591" i="7"/>
  <c r="D591" i="7"/>
  <c r="B591" i="7"/>
  <c r="M590" i="7"/>
  <c r="L590" i="7"/>
  <c r="D590" i="7"/>
  <c r="B590" i="7"/>
  <c r="M589" i="7"/>
  <c r="L589" i="7"/>
  <c r="D589" i="7"/>
  <c r="B589" i="7"/>
  <c r="M588" i="7"/>
  <c r="L588" i="7"/>
  <c r="D588" i="7"/>
  <c r="B588" i="7"/>
  <c r="M587" i="7"/>
  <c r="L587" i="7"/>
  <c r="D587" i="7"/>
  <c r="B587" i="7"/>
  <c r="L583" i="7"/>
  <c r="K583" i="7" s="1"/>
  <c r="L582" i="7"/>
  <c r="H582" i="7" s="1"/>
  <c r="M580" i="7"/>
  <c r="L580" i="7"/>
  <c r="D580" i="7"/>
  <c r="E580" i="7" s="1"/>
  <c r="M579" i="7"/>
  <c r="L579" i="7"/>
  <c r="D579" i="7"/>
  <c r="E579" i="7" s="1"/>
  <c r="M578" i="7"/>
  <c r="L578" i="7"/>
  <c r="D578" i="7"/>
  <c r="E578" i="7" s="1"/>
  <c r="B578" i="7"/>
  <c r="M577" i="7"/>
  <c r="L577" i="7"/>
  <c r="D577" i="7"/>
  <c r="E577" i="7" s="1"/>
  <c r="B577" i="7"/>
  <c r="M575" i="7"/>
  <c r="L575" i="7"/>
  <c r="D575" i="7"/>
  <c r="B575" i="7"/>
  <c r="M574" i="7"/>
  <c r="L574" i="7"/>
  <c r="D574" i="7"/>
  <c r="B574" i="7"/>
  <c r="M573" i="7"/>
  <c r="L573" i="7"/>
  <c r="D573" i="7"/>
  <c r="B573" i="7"/>
  <c r="M572" i="7"/>
  <c r="L572" i="7"/>
  <c r="D572" i="7"/>
  <c r="B572" i="7"/>
  <c r="M571" i="7"/>
  <c r="L571" i="7"/>
  <c r="D571" i="7"/>
  <c r="B571" i="7"/>
  <c r="M570" i="7"/>
  <c r="L570" i="7"/>
  <c r="D570" i="7"/>
  <c r="B570" i="7"/>
  <c r="M569" i="7"/>
  <c r="L569" i="7"/>
  <c r="D569" i="7"/>
  <c r="B569" i="7"/>
  <c r="M568" i="7"/>
  <c r="L568" i="7"/>
  <c r="D568" i="7"/>
  <c r="B568" i="7"/>
  <c r="M567" i="7"/>
  <c r="L567" i="7"/>
  <c r="D567" i="7"/>
  <c r="B567" i="7"/>
  <c r="M566" i="7"/>
  <c r="L566" i="7"/>
  <c r="D566" i="7"/>
  <c r="B566" i="7"/>
  <c r="M565" i="7"/>
  <c r="L565" i="7"/>
  <c r="D565" i="7"/>
  <c r="B565" i="7"/>
  <c r="M564" i="7"/>
  <c r="L564" i="7"/>
  <c r="D564" i="7"/>
  <c r="B564" i="7"/>
  <c r="L560" i="7"/>
  <c r="K560" i="7" s="1"/>
  <c r="L559" i="7"/>
  <c r="K559" i="7" s="1"/>
  <c r="L558" i="7"/>
  <c r="K558" i="7" s="1"/>
  <c r="M556" i="7"/>
  <c r="L556" i="7"/>
  <c r="D556" i="7"/>
  <c r="B556" i="7"/>
  <c r="M555" i="7"/>
  <c r="L555" i="7"/>
  <c r="D555" i="7"/>
  <c r="E555" i="7" s="1"/>
  <c r="B555" i="7"/>
  <c r="M547" i="7"/>
  <c r="L547" i="7"/>
  <c r="D547" i="7"/>
  <c r="E547" i="7" s="1"/>
  <c r="M546" i="7"/>
  <c r="L546" i="7"/>
  <c r="D546" i="7"/>
  <c r="E546" i="7" s="1"/>
  <c r="M545" i="7"/>
  <c r="L545" i="7"/>
  <c r="D545" i="7"/>
  <c r="E545" i="7" s="1"/>
  <c r="M544" i="7"/>
  <c r="L544" i="7"/>
  <c r="D544" i="7"/>
  <c r="E544" i="7" s="1"/>
  <c r="B544" i="7"/>
  <c r="M543" i="7"/>
  <c r="L543" i="7"/>
  <c r="D543" i="7"/>
  <c r="E543" i="7" s="1"/>
  <c r="B543" i="7"/>
  <c r="M542" i="7"/>
  <c r="L542" i="7"/>
  <c r="D542" i="7"/>
  <c r="E542" i="7" s="1"/>
  <c r="B542" i="7"/>
  <c r="M541" i="7"/>
  <c r="L541" i="7"/>
  <c r="D541" i="7"/>
  <c r="B541" i="7"/>
  <c r="M540" i="7"/>
  <c r="L540" i="7"/>
  <c r="D540" i="7"/>
  <c r="B540" i="7"/>
  <c r="M539" i="7"/>
  <c r="L539" i="7"/>
  <c r="D539" i="7"/>
  <c r="B539" i="7"/>
  <c r="M538" i="7"/>
  <c r="L538" i="7"/>
  <c r="D538" i="7"/>
  <c r="B538" i="7"/>
  <c r="M537" i="7"/>
  <c r="L537" i="7"/>
  <c r="D537" i="7"/>
  <c r="B537" i="7"/>
  <c r="M536" i="7"/>
  <c r="L536" i="7"/>
  <c r="D536" i="7"/>
  <c r="B536" i="7"/>
  <c r="M535" i="7"/>
  <c r="L535" i="7"/>
  <c r="D535" i="7"/>
  <c r="B535" i="7"/>
  <c r="L531" i="7"/>
  <c r="L530" i="7"/>
  <c r="M528" i="7"/>
  <c r="L528" i="7"/>
  <c r="D528" i="7"/>
  <c r="E528" i="7" s="1"/>
  <c r="M527" i="7"/>
  <c r="L527" i="7"/>
  <c r="D527" i="7"/>
  <c r="E527" i="7" s="1"/>
  <c r="M526" i="7"/>
  <c r="L526" i="7"/>
  <c r="D526" i="7"/>
  <c r="E526" i="7" s="1"/>
  <c r="M525" i="7"/>
  <c r="L525" i="7"/>
  <c r="D525" i="7"/>
  <c r="E525" i="7" s="1"/>
  <c r="B525" i="7"/>
  <c r="M524" i="7"/>
  <c r="L524" i="7"/>
  <c r="D524" i="7"/>
  <c r="B524" i="7"/>
  <c r="M523" i="7"/>
  <c r="L523" i="7"/>
  <c r="D523" i="7"/>
  <c r="B523" i="7"/>
  <c r="M522" i="7"/>
  <c r="L522" i="7"/>
  <c r="D522" i="7"/>
  <c r="B522" i="7"/>
  <c r="M521" i="7"/>
  <c r="L521" i="7"/>
  <c r="D521" i="7"/>
  <c r="B521" i="7"/>
  <c r="M520" i="7"/>
  <c r="L520" i="7"/>
  <c r="D520" i="7"/>
  <c r="B520" i="7"/>
  <c r="M519" i="7"/>
  <c r="L519" i="7"/>
  <c r="D519" i="7"/>
  <c r="B519" i="7"/>
  <c r="M518" i="7"/>
  <c r="L518" i="7"/>
  <c r="D518" i="7"/>
  <c r="B518" i="7"/>
  <c r="M517" i="7"/>
  <c r="L517" i="7"/>
  <c r="D517" i="7"/>
  <c r="B517" i="7"/>
  <c r="L513" i="7"/>
  <c r="L512" i="7"/>
  <c r="M510" i="7"/>
  <c r="L510" i="7"/>
  <c r="D510" i="7"/>
  <c r="E510" i="7" s="1"/>
  <c r="M509" i="7"/>
  <c r="L509" i="7"/>
  <c r="D509" i="7"/>
  <c r="E509" i="7" s="1"/>
  <c r="M508" i="7"/>
  <c r="L508" i="7"/>
  <c r="D508" i="7"/>
  <c r="E508" i="7" s="1"/>
  <c r="M507" i="7"/>
  <c r="L507" i="7"/>
  <c r="D507" i="7"/>
  <c r="E507" i="7" s="1"/>
  <c r="B507" i="7"/>
  <c r="M506" i="7"/>
  <c r="L506" i="7"/>
  <c r="D506" i="7"/>
  <c r="B506" i="7"/>
  <c r="M505" i="7"/>
  <c r="L505" i="7"/>
  <c r="D505" i="7"/>
  <c r="B505" i="7"/>
  <c r="M504" i="7"/>
  <c r="L504" i="7"/>
  <c r="D504" i="7"/>
  <c r="B504" i="7"/>
  <c r="M503" i="7"/>
  <c r="L503" i="7"/>
  <c r="D503" i="7"/>
  <c r="B503" i="7"/>
  <c r="M502" i="7"/>
  <c r="L502" i="7"/>
  <c r="D502" i="7"/>
  <c r="B502" i="7"/>
  <c r="M501" i="7"/>
  <c r="L501" i="7"/>
  <c r="D501" i="7"/>
  <c r="B501" i="7"/>
  <c r="M500" i="7"/>
  <c r="L500" i="7"/>
  <c r="D500" i="7"/>
  <c r="B500" i="7"/>
  <c r="M499" i="7"/>
  <c r="K499" i="7" s="1"/>
  <c r="G499" i="7" s="1"/>
  <c r="H499" i="7" s="1"/>
  <c r="D499" i="7"/>
  <c r="B499" i="7"/>
  <c r="M494" i="7"/>
  <c r="K494" i="7" s="1"/>
  <c r="G494" i="7" s="1"/>
  <c r="H494" i="7" s="1"/>
  <c r="D494" i="7"/>
  <c r="B494" i="7"/>
  <c r="B493" i="7" s="1"/>
  <c r="L490" i="7"/>
  <c r="L489" i="7"/>
  <c r="M487" i="7"/>
  <c r="L487" i="7"/>
  <c r="D487" i="7"/>
  <c r="E487" i="7" s="1"/>
  <c r="M486" i="7"/>
  <c r="L486" i="7"/>
  <c r="D486" i="7"/>
  <c r="E486" i="7" s="1"/>
  <c r="M485" i="7"/>
  <c r="L485" i="7"/>
  <c r="D485" i="7"/>
  <c r="E485" i="7" s="1"/>
  <c r="B485" i="7"/>
  <c r="M483" i="7"/>
  <c r="L483" i="7"/>
  <c r="D483" i="7"/>
  <c r="B483" i="7"/>
  <c r="M482" i="7"/>
  <c r="L482" i="7"/>
  <c r="D482" i="7"/>
  <c r="B482" i="7"/>
  <c r="M481" i="7"/>
  <c r="L481" i="7"/>
  <c r="D481" i="7"/>
  <c r="B481" i="7"/>
  <c r="M480" i="7"/>
  <c r="L480" i="7"/>
  <c r="D480" i="7"/>
  <c r="B480" i="7"/>
  <c r="M479" i="7"/>
  <c r="L479" i="7"/>
  <c r="D479" i="7"/>
  <c r="B479" i="7"/>
  <c r="M478" i="7"/>
  <c r="L478" i="7"/>
  <c r="D478" i="7"/>
  <c r="B478" i="7"/>
  <c r="M477" i="7"/>
  <c r="L477" i="7"/>
  <c r="D477" i="7"/>
  <c r="B477" i="7"/>
  <c r="M476" i="7"/>
  <c r="L476" i="7"/>
  <c r="D476" i="7"/>
  <c r="B476" i="7"/>
  <c r="M475" i="7"/>
  <c r="L475" i="7"/>
  <c r="D475" i="7"/>
  <c r="B475" i="7"/>
  <c r="M474" i="7"/>
  <c r="L474" i="7"/>
  <c r="D474" i="7"/>
  <c r="B474" i="7"/>
  <c r="L470" i="7"/>
  <c r="K470" i="7" s="1"/>
  <c r="L469" i="7"/>
  <c r="H469" i="7" s="1"/>
  <c r="M467" i="7"/>
  <c r="L467" i="7"/>
  <c r="D467" i="7"/>
  <c r="E467" i="7" s="1"/>
  <c r="M466" i="7"/>
  <c r="L466" i="7"/>
  <c r="D466" i="7"/>
  <c r="E466" i="7" s="1"/>
  <c r="M465" i="7"/>
  <c r="L465" i="7"/>
  <c r="D465" i="7"/>
  <c r="E465" i="7" s="1"/>
  <c r="B465" i="7"/>
  <c r="M464" i="7"/>
  <c r="L464" i="7"/>
  <c r="D464" i="7"/>
  <c r="E464" i="7" s="1"/>
  <c r="B464" i="7"/>
  <c r="M462" i="7"/>
  <c r="L462" i="7"/>
  <c r="D462" i="7"/>
  <c r="B462" i="7"/>
  <c r="M461" i="7"/>
  <c r="L461" i="7"/>
  <c r="D461" i="7"/>
  <c r="B461" i="7"/>
  <c r="M460" i="7"/>
  <c r="L460" i="7"/>
  <c r="D460" i="7"/>
  <c r="B460" i="7"/>
  <c r="M459" i="7"/>
  <c r="L459" i="7"/>
  <c r="D459" i="7"/>
  <c r="B459" i="7"/>
  <c r="M458" i="7"/>
  <c r="L458" i="7"/>
  <c r="D458" i="7"/>
  <c r="B458" i="7"/>
  <c r="M457" i="7"/>
  <c r="L457" i="7"/>
  <c r="D457" i="7"/>
  <c r="B457" i="7"/>
  <c r="M456" i="7"/>
  <c r="L456" i="7"/>
  <c r="D456" i="7"/>
  <c r="B456" i="7"/>
  <c r="M455" i="7"/>
  <c r="L455" i="7"/>
  <c r="D455" i="7"/>
  <c r="B455" i="7"/>
  <c r="M454" i="7"/>
  <c r="L454" i="7"/>
  <c r="D454" i="7"/>
  <c r="B454" i="7"/>
  <c r="M453" i="7"/>
  <c r="L453" i="7"/>
  <c r="D453" i="7"/>
  <c r="B453" i="7"/>
  <c r="M452" i="7"/>
  <c r="L452" i="7"/>
  <c r="D452" i="7"/>
  <c r="B452" i="7"/>
  <c r="M451" i="7"/>
  <c r="L451" i="7"/>
  <c r="D451" i="7"/>
  <c r="B451" i="7"/>
  <c r="L447" i="7"/>
  <c r="K447" i="7" s="1"/>
  <c r="H447" i="7" s="1"/>
  <c r="L446" i="7"/>
  <c r="K446" i="7" s="1"/>
  <c r="H446" i="7" s="1"/>
  <c r="L445" i="7"/>
  <c r="K445" i="7" s="1"/>
  <c r="H445" i="7" s="1"/>
  <c r="M443" i="7"/>
  <c r="L443" i="7"/>
  <c r="D443" i="7"/>
  <c r="B443" i="7"/>
  <c r="M442" i="7"/>
  <c r="L442" i="7"/>
  <c r="D442" i="7"/>
  <c r="E442" i="7" s="1"/>
  <c r="B442" i="7"/>
  <c r="M434" i="7"/>
  <c r="L434" i="7"/>
  <c r="D434" i="7"/>
  <c r="E434" i="7" s="1"/>
  <c r="M433" i="7"/>
  <c r="L433" i="7"/>
  <c r="D433" i="7"/>
  <c r="E433" i="7" s="1"/>
  <c r="M432" i="7"/>
  <c r="L432" i="7"/>
  <c r="D432" i="7"/>
  <c r="E432" i="7" s="1"/>
  <c r="M431" i="7"/>
  <c r="L431" i="7"/>
  <c r="D431" i="7"/>
  <c r="E431" i="7" s="1"/>
  <c r="B431" i="7"/>
  <c r="M430" i="7"/>
  <c r="L430" i="7"/>
  <c r="D430" i="7"/>
  <c r="E430" i="7" s="1"/>
  <c r="B430" i="7"/>
  <c r="M429" i="7"/>
  <c r="L429" i="7"/>
  <c r="D429" i="7"/>
  <c r="B429" i="7"/>
  <c r="M428" i="7"/>
  <c r="L428" i="7"/>
  <c r="D428" i="7"/>
  <c r="B428" i="7"/>
  <c r="M427" i="7"/>
  <c r="L427" i="7"/>
  <c r="D427" i="7"/>
  <c r="B427" i="7"/>
  <c r="M426" i="7"/>
  <c r="L426" i="7"/>
  <c r="D426" i="7"/>
  <c r="B426" i="7"/>
  <c r="M425" i="7"/>
  <c r="L425" i="7"/>
  <c r="D425" i="7"/>
  <c r="B425" i="7"/>
  <c r="M424" i="7"/>
  <c r="L424" i="7"/>
  <c r="D424" i="7"/>
  <c r="B424" i="7"/>
  <c r="L420" i="7"/>
  <c r="L419" i="7"/>
  <c r="M417" i="7"/>
  <c r="L417" i="7"/>
  <c r="D417" i="7"/>
  <c r="E417" i="7" s="1"/>
  <c r="M416" i="7"/>
  <c r="L416" i="7"/>
  <c r="D416" i="7"/>
  <c r="E416" i="7" s="1"/>
  <c r="M415" i="7"/>
  <c r="L415" i="7"/>
  <c r="D415" i="7"/>
  <c r="E415" i="7" s="1"/>
  <c r="M414" i="7"/>
  <c r="L414" i="7"/>
  <c r="D414" i="7"/>
  <c r="E414" i="7" s="1"/>
  <c r="B414" i="7"/>
  <c r="M413" i="7"/>
  <c r="L413" i="7"/>
  <c r="D413" i="7"/>
  <c r="B413" i="7"/>
  <c r="M412" i="7"/>
  <c r="L412" i="7"/>
  <c r="D412" i="7"/>
  <c r="B412" i="7"/>
  <c r="M411" i="7"/>
  <c r="L411" i="7"/>
  <c r="D411" i="7"/>
  <c r="B411" i="7"/>
  <c r="M410" i="7"/>
  <c r="L410" i="7"/>
  <c r="D410" i="7"/>
  <c r="B410" i="7"/>
  <c r="M409" i="7"/>
  <c r="L409" i="7"/>
  <c r="D409" i="7"/>
  <c r="B409" i="7"/>
  <c r="M408" i="7"/>
  <c r="L408" i="7"/>
  <c r="D408" i="7"/>
  <c r="B408" i="7"/>
  <c r="M407" i="7"/>
  <c r="L407" i="7"/>
  <c r="D407" i="7"/>
  <c r="B407" i="7"/>
  <c r="M406" i="7"/>
  <c r="L406" i="7"/>
  <c r="D406" i="7"/>
  <c r="B406" i="7"/>
  <c r="L402" i="7"/>
  <c r="L401" i="7"/>
  <c r="M399" i="7"/>
  <c r="L399" i="7"/>
  <c r="D399" i="7"/>
  <c r="E399" i="7" s="1"/>
  <c r="M398" i="7"/>
  <c r="L398" i="7"/>
  <c r="D398" i="7"/>
  <c r="E398" i="7" s="1"/>
  <c r="M397" i="7"/>
  <c r="L397" i="7"/>
  <c r="D397" i="7"/>
  <c r="E397" i="7" s="1"/>
  <c r="M396" i="7"/>
  <c r="L396" i="7"/>
  <c r="D396" i="7"/>
  <c r="E396" i="7" s="1"/>
  <c r="B396" i="7"/>
  <c r="M395" i="7"/>
  <c r="L395" i="7"/>
  <c r="D395" i="7"/>
  <c r="B395" i="7"/>
  <c r="M394" i="7"/>
  <c r="L394" i="7"/>
  <c r="D394" i="7"/>
  <c r="B394" i="7"/>
  <c r="M393" i="7"/>
  <c r="L393" i="7"/>
  <c r="D393" i="7"/>
  <c r="B393" i="7"/>
  <c r="M392" i="7"/>
  <c r="L392" i="7"/>
  <c r="D392" i="7"/>
  <c r="B392" i="7"/>
  <c r="M391" i="7"/>
  <c r="L391" i="7"/>
  <c r="D391" i="7"/>
  <c r="B391" i="7"/>
  <c r="M390" i="7"/>
  <c r="L390" i="7"/>
  <c r="D390" i="7"/>
  <c r="B390" i="7"/>
  <c r="M389" i="7"/>
  <c r="L389" i="7"/>
  <c r="D389" i="7"/>
  <c r="B389" i="7"/>
  <c r="M388" i="7"/>
  <c r="K388" i="7" s="1"/>
  <c r="G388" i="7" s="1"/>
  <c r="H388" i="7" s="1"/>
  <c r="D388" i="7"/>
  <c r="B388" i="7"/>
  <c r="M383" i="7"/>
  <c r="K383" i="7" s="1"/>
  <c r="G383" i="7" s="1"/>
  <c r="H383" i="7" s="1"/>
  <c r="D383" i="7"/>
  <c r="B383" i="7"/>
  <c r="L379" i="7"/>
  <c r="L378" i="7"/>
  <c r="M376" i="7"/>
  <c r="L376" i="7"/>
  <c r="D376" i="7"/>
  <c r="E376" i="7" s="1"/>
  <c r="M375" i="7"/>
  <c r="L375" i="7"/>
  <c r="D375" i="7"/>
  <c r="E375" i="7" s="1"/>
  <c r="M374" i="7"/>
  <c r="L374" i="7"/>
  <c r="D374" i="7"/>
  <c r="E374" i="7" s="1"/>
  <c r="B374" i="7"/>
  <c r="M372" i="7"/>
  <c r="L372" i="7"/>
  <c r="D372" i="7"/>
  <c r="B372" i="7"/>
  <c r="M371" i="7"/>
  <c r="L371" i="7"/>
  <c r="D371" i="7"/>
  <c r="B371" i="7"/>
  <c r="M370" i="7"/>
  <c r="L370" i="7"/>
  <c r="D370" i="7"/>
  <c r="B370" i="7"/>
  <c r="M369" i="7"/>
  <c r="L369" i="7"/>
  <c r="D369" i="7"/>
  <c r="B369" i="7"/>
  <c r="M368" i="7"/>
  <c r="L368" i="7"/>
  <c r="D368" i="7"/>
  <c r="B368" i="7"/>
  <c r="M367" i="7"/>
  <c r="L367" i="7"/>
  <c r="D367" i="7"/>
  <c r="B367" i="7"/>
  <c r="M366" i="7"/>
  <c r="L366" i="7"/>
  <c r="D366" i="7"/>
  <c r="B366" i="7"/>
  <c r="M365" i="7"/>
  <c r="L365" i="7"/>
  <c r="D365" i="7"/>
  <c r="B365" i="7"/>
  <c r="M364" i="7"/>
  <c r="L364" i="7"/>
  <c r="D364" i="7"/>
  <c r="B364" i="7"/>
  <c r="M363" i="7"/>
  <c r="L363" i="7"/>
  <c r="D363" i="7"/>
  <c r="B363" i="7"/>
  <c r="L359" i="7"/>
  <c r="K359" i="7" s="1"/>
  <c r="L358" i="7"/>
  <c r="K358" i="7" s="1"/>
  <c r="M356" i="7"/>
  <c r="L356" i="7"/>
  <c r="D356" i="7"/>
  <c r="E356" i="7" s="1"/>
  <c r="M355" i="7"/>
  <c r="L355" i="7"/>
  <c r="D355" i="7"/>
  <c r="E355" i="7" s="1"/>
  <c r="M354" i="7"/>
  <c r="L354" i="7"/>
  <c r="D354" i="7"/>
  <c r="E354" i="7" s="1"/>
  <c r="B354" i="7"/>
  <c r="M353" i="7"/>
  <c r="L353" i="7"/>
  <c r="D353" i="7"/>
  <c r="E353" i="7" s="1"/>
  <c r="B353" i="7"/>
  <c r="M351" i="7"/>
  <c r="L351" i="7"/>
  <c r="D351" i="7"/>
  <c r="B351" i="7"/>
  <c r="M350" i="7"/>
  <c r="L350" i="7"/>
  <c r="D350" i="7"/>
  <c r="B350" i="7"/>
  <c r="M349" i="7"/>
  <c r="L349" i="7"/>
  <c r="D349" i="7"/>
  <c r="B349" i="7"/>
  <c r="M348" i="7"/>
  <c r="L348" i="7"/>
  <c r="D348" i="7"/>
  <c r="B348" i="7"/>
  <c r="M347" i="7"/>
  <c r="L347" i="7"/>
  <c r="D347" i="7"/>
  <c r="B347" i="7"/>
  <c r="M346" i="7"/>
  <c r="L346" i="7"/>
  <c r="D346" i="7"/>
  <c r="B346" i="7"/>
  <c r="M345" i="7"/>
  <c r="L345" i="7"/>
  <c r="D345" i="7"/>
  <c r="B345" i="7"/>
  <c r="M344" i="7"/>
  <c r="L344" i="7"/>
  <c r="D344" i="7"/>
  <c r="B344" i="7"/>
  <c r="M343" i="7"/>
  <c r="L343" i="7"/>
  <c r="D343" i="7"/>
  <c r="B343" i="7"/>
  <c r="M342" i="7"/>
  <c r="L342" i="7"/>
  <c r="D342" i="7"/>
  <c r="B342" i="7"/>
  <c r="M341" i="7"/>
  <c r="L341" i="7"/>
  <c r="D341" i="7"/>
  <c r="B341" i="7"/>
  <c r="M340" i="7"/>
  <c r="L340" i="7"/>
  <c r="D340" i="7"/>
  <c r="B340" i="7"/>
  <c r="L336" i="7"/>
  <c r="K336" i="7" s="1"/>
  <c r="L335" i="7"/>
  <c r="K335" i="7" s="1"/>
  <c r="H335" i="7" s="1"/>
  <c r="L334" i="7"/>
  <c r="K334" i="7" s="1"/>
  <c r="M332" i="7"/>
  <c r="L332" i="7"/>
  <c r="D332" i="7"/>
  <c r="B332" i="7"/>
  <c r="M331" i="7"/>
  <c r="L331" i="7"/>
  <c r="D331" i="7"/>
  <c r="E331" i="7" s="1"/>
  <c r="B331" i="7"/>
  <c r="M323" i="7"/>
  <c r="L323" i="7"/>
  <c r="D323" i="7"/>
  <c r="E323" i="7" s="1"/>
  <c r="M322" i="7"/>
  <c r="L322" i="7"/>
  <c r="D322" i="7"/>
  <c r="E322" i="7" s="1"/>
  <c r="M321" i="7"/>
  <c r="L321" i="7"/>
  <c r="D321" i="7"/>
  <c r="E321" i="7" s="1"/>
  <c r="M320" i="7"/>
  <c r="L320" i="7"/>
  <c r="D320" i="7"/>
  <c r="E320" i="7" s="1"/>
  <c r="B320" i="7"/>
  <c r="M319" i="7"/>
  <c r="L319" i="7"/>
  <c r="D319" i="7"/>
  <c r="E319" i="7" s="1"/>
  <c r="B319" i="7"/>
  <c r="M318" i="7"/>
  <c r="L318" i="7"/>
  <c r="D318" i="7"/>
  <c r="B318" i="7"/>
  <c r="M317" i="7"/>
  <c r="L317" i="7"/>
  <c r="D317" i="7"/>
  <c r="B317" i="7"/>
  <c r="M316" i="7"/>
  <c r="L316" i="7"/>
  <c r="D316" i="7"/>
  <c r="B316" i="7"/>
  <c r="M315" i="7"/>
  <c r="L315" i="7"/>
  <c r="D315" i="7"/>
  <c r="B315" i="7"/>
  <c r="M314" i="7"/>
  <c r="L314" i="7"/>
  <c r="D314" i="7"/>
  <c r="B314" i="7"/>
  <c r="M313" i="7"/>
  <c r="L313" i="7"/>
  <c r="D313" i="7"/>
  <c r="B313" i="7"/>
  <c r="L309" i="7"/>
  <c r="L308" i="7"/>
  <c r="M306" i="7"/>
  <c r="L306" i="7"/>
  <c r="D306" i="7"/>
  <c r="E306" i="7" s="1"/>
  <c r="M305" i="7"/>
  <c r="L305" i="7"/>
  <c r="D305" i="7"/>
  <c r="E305" i="7" s="1"/>
  <c r="M304" i="7"/>
  <c r="L304" i="7"/>
  <c r="D304" i="7"/>
  <c r="E304" i="7" s="1"/>
  <c r="M303" i="7"/>
  <c r="L303" i="7"/>
  <c r="D303" i="7"/>
  <c r="E303" i="7" s="1"/>
  <c r="B303" i="7"/>
  <c r="M302" i="7"/>
  <c r="L302" i="7"/>
  <c r="D302" i="7"/>
  <c r="B302" i="7"/>
  <c r="M301" i="7"/>
  <c r="L301" i="7"/>
  <c r="D301" i="7"/>
  <c r="B301" i="7"/>
  <c r="M300" i="7"/>
  <c r="L300" i="7"/>
  <c r="D300" i="7"/>
  <c r="B300" i="7"/>
  <c r="M299" i="7"/>
  <c r="L299" i="7"/>
  <c r="D299" i="7"/>
  <c r="B299" i="7"/>
  <c r="M298" i="7"/>
  <c r="L298" i="7"/>
  <c r="D298" i="7"/>
  <c r="B298" i="7"/>
  <c r="M297" i="7"/>
  <c r="L297" i="7"/>
  <c r="D297" i="7"/>
  <c r="B297" i="7"/>
  <c r="M296" i="7"/>
  <c r="L296" i="7"/>
  <c r="D296" i="7"/>
  <c r="B296" i="7"/>
  <c r="M295" i="7"/>
  <c r="L295" i="7"/>
  <c r="D295" i="7"/>
  <c r="B295" i="7"/>
  <c r="L291" i="7"/>
  <c r="L290" i="7"/>
  <c r="M288" i="7"/>
  <c r="L288" i="7"/>
  <c r="D288" i="7"/>
  <c r="E288" i="7" s="1"/>
  <c r="M287" i="7"/>
  <c r="L287" i="7"/>
  <c r="D287" i="7"/>
  <c r="E287" i="7" s="1"/>
  <c r="M286" i="7"/>
  <c r="L286" i="7"/>
  <c r="D286" i="7"/>
  <c r="E286" i="7" s="1"/>
  <c r="M285" i="7"/>
  <c r="L285" i="7"/>
  <c r="D285" i="7"/>
  <c r="E285" i="7" s="1"/>
  <c r="B285" i="7"/>
  <c r="M284" i="7"/>
  <c r="L284" i="7"/>
  <c r="D284" i="7"/>
  <c r="B284" i="7"/>
  <c r="M283" i="7"/>
  <c r="L283" i="7"/>
  <c r="D283" i="7"/>
  <c r="B283" i="7"/>
  <c r="M282" i="7"/>
  <c r="L282" i="7"/>
  <c r="D282" i="7"/>
  <c r="B282" i="7"/>
  <c r="M281" i="7"/>
  <c r="L281" i="7"/>
  <c r="D281" i="7"/>
  <c r="B281" i="7"/>
  <c r="M280" i="7"/>
  <c r="L280" i="7"/>
  <c r="D280" i="7"/>
  <c r="B280" i="7"/>
  <c r="M279" i="7"/>
  <c r="L279" i="7"/>
  <c r="D279" i="7"/>
  <c r="B279" i="7"/>
  <c r="M278" i="7"/>
  <c r="L278" i="7"/>
  <c r="D278" i="7"/>
  <c r="B278" i="7"/>
  <c r="M277" i="7"/>
  <c r="K277" i="7" s="1"/>
  <c r="G277" i="7" s="1"/>
  <c r="H277" i="7" s="1"/>
  <c r="D277" i="7"/>
  <c r="B277" i="7"/>
  <c r="M272" i="7"/>
  <c r="K272" i="7" s="1"/>
  <c r="G272" i="7" s="1"/>
  <c r="H272" i="7" s="1"/>
  <c r="D272" i="7"/>
  <c r="B272" i="7"/>
  <c r="B271" i="7" s="1"/>
  <c r="L268" i="7"/>
  <c r="L267" i="7"/>
  <c r="M265" i="7"/>
  <c r="L265" i="7"/>
  <c r="D265" i="7"/>
  <c r="E265" i="7" s="1"/>
  <c r="M264" i="7"/>
  <c r="L264" i="7"/>
  <c r="D264" i="7"/>
  <c r="E264" i="7" s="1"/>
  <c r="M263" i="7"/>
  <c r="L263" i="7"/>
  <c r="D263" i="7"/>
  <c r="E263" i="7" s="1"/>
  <c r="B263" i="7"/>
  <c r="M261" i="7"/>
  <c r="L261" i="7"/>
  <c r="D261" i="7"/>
  <c r="B261" i="7"/>
  <c r="M260" i="7"/>
  <c r="L260" i="7"/>
  <c r="D260" i="7"/>
  <c r="B260" i="7"/>
  <c r="M259" i="7"/>
  <c r="L259" i="7"/>
  <c r="D259" i="7"/>
  <c r="B259" i="7"/>
  <c r="M258" i="7"/>
  <c r="L258" i="7"/>
  <c r="D258" i="7"/>
  <c r="B258" i="7"/>
  <c r="M257" i="7"/>
  <c r="L257" i="7"/>
  <c r="D257" i="7"/>
  <c r="B257" i="7"/>
  <c r="M256" i="7"/>
  <c r="L256" i="7"/>
  <c r="D256" i="7"/>
  <c r="B256" i="7"/>
  <c r="M255" i="7"/>
  <c r="L255" i="7"/>
  <c r="D255" i="7"/>
  <c r="B255" i="7"/>
  <c r="M254" i="7"/>
  <c r="L254" i="7"/>
  <c r="D254" i="7"/>
  <c r="B254" i="7"/>
  <c r="M253" i="7"/>
  <c r="L253" i="7"/>
  <c r="D253" i="7"/>
  <c r="B253" i="7"/>
  <c r="M252" i="7"/>
  <c r="L252" i="7"/>
  <c r="D252" i="7"/>
  <c r="B252" i="7"/>
  <c r="L248" i="7"/>
  <c r="K248" i="7" s="1"/>
  <c r="L247" i="7"/>
  <c r="K247" i="7" s="1"/>
  <c r="M245" i="7"/>
  <c r="L245" i="7"/>
  <c r="D245" i="7"/>
  <c r="E245" i="7" s="1"/>
  <c r="M244" i="7"/>
  <c r="L244" i="7"/>
  <c r="D244" i="7"/>
  <c r="E244" i="7" s="1"/>
  <c r="M243" i="7"/>
  <c r="L243" i="7"/>
  <c r="D243" i="7"/>
  <c r="E243" i="7" s="1"/>
  <c r="B243" i="7"/>
  <c r="M242" i="7"/>
  <c r="L242" i="7"/>
  <c r="D242" i="7"/>
  <c r="E242" i="7" s="1"/>
  <c r="B242" i="7"/>
  <c r="M240" i="7"/>
  <c r="L240" i="7"/>
  <c r="D240" i="7"/>
  <c r="B240" i="7"/>
  <c r="M239" i="7"/>
  <c r="L239" i="7"/>
  <c r="D239" i="7"/>
  <c r="B239" i="7"/>
  <c r="M238" i="7"/>
  <c r="L238" i="7"/>
  <c r="D238" i="7"/>
  <c r="B238" i="7"/>
  <c r="M237" i="7"/>
  <c r="L237" i="7"/>
  <c r="D237" i="7"/>
  <c r="B237" i="7"/>
  <c r="M236" i="7"/>
  <c r="L236" i="7"/>
  <c r="D236" i="7"/>
  <c r="B236" i="7"/>
  <c r="M235" i="7"/>
  <c r="L235" i="7"/>
  <c r="D235" i="7"/>
  <c r="B235" i="7"/>
  <c r="M234" i="7"/>
  <c r="L234" i="7"/>
  <c r="D234" i="7"/>
  <c r="B234" i="7"/>
  <c r="M233" i="7"/>
  <c r="L233" i="7"/>
  <c r="D233" i="7"/>
  <c r="B233" i="7"/>
  <c r="M232" i="7"/>
  <c r="L232" i="7"/>
  <c r="D232" i="7"/>
  <c r="B232" i="7"/>
  <c r="M231" i="7"/>
  <c r="L231" i="7"/>
  <c r="D231" i="7"/>
  <c r="B231" i="7"/>
  <c r="M230" i="7"/>
  <c r="L230" i="7"/>
  <c r="D230" i="7"/>
  <c r="B230" i="7"/>
  <c r="M229" i="7"/>
  <c r="L229" i="7"/>
  <c r="D229" i="7"/>
  <c r="B229" i="7"/>
  <c r="L225" i="7"/>
  <c r="K225" i="7" s="1"/>
  <c r="L224" i="7"/>
  <c r="K224" i="7" s="1"/>
  <c r="L223" i="7"/>
  <c r="K223" i="7" s="1"/>
  <c r="M221" i="7"/>
  <c r="L221" i="7"/>
  <c r="D221" i="7"/>
  <c r="B221" i="7"/>
  <c r="M220" i="7"/>
  <c r="L220" i="7"/>
  <c r="D220" i="7"/>
  <c r="E220" i="7" s="1"/>
  <c r="B220" i="7"/>
  <c r="M212" i="7"/>
  <c r="L212" i="7"/>
  <c r="D212" i="7"/>
  <c r="E212" i="7" s="1"/>
  <c r="M211" i="7"/>
  <c r="L211" i="7"/>
  <c r="D211" i="7"/>
  <c r="E211" i="7" s="1"/>
  <c r="M210" i="7"/>
  <c r="L210" i="7"/>
  <c r="D210" i="7"/>
  <c r="E210" i="7" s="1"/>
  <c r="M209" i="7"/>
  <c r="L209" i="7"/>
  <c r="D209" i="7"/>
  <c r="E209" i="7" s="1"/>
  <c r="B209" i="7"/>
  <c r="M208" i="7"/>
  <c r="L208" i="7"/>
  <c r="D208" i="7"/>
  <c r="E208" i="7" s="1"/>
  <c r="B208" i="7"/>
  <c r="M207" i="7"/>
  <c r="L207" i="7"/>
  <c r="D207" i="7"/>
  <c r="E207" i="7" s="1"/>
  <c r="B207" i="7"/>
  <c r="M206" i="7"/>
  <c r="L206" i="7"/>
  <c r="D206" i="7"/>
  <c r="B206" i="7"/>
  <c r="M205" i="7"/>
  <c r="L205" i="7"/>
  <c r="D205" i="7"/>
  <c r="B205" i="7"/>
  <c r="M204" i="7"/>
  <c r="L204" i="7"/>
  <c r="D204" i="7"/>
  <c r="B204" i="7"/>
  <c r="M203" i="7"/>
  <c r="L203" i="7"/>
  <c r="D203" i="7"/>
  <c r="B203" i="7"/>
  <c r="M202" i="7"/>
  <c r="L202" i="7"/>
  <c r="D202" i="7"/>
  <c r="B202" i="7"/>
  <c r="M201" i="7"/>
  <c r="L201" i="7"/>
  <c r="D201" i="7"/>
  <c r="B201" i="7"/>
  <c r="M200" i="7"/>
  <c r="L200" i="7"/>
  <c r="D200" i="7"/>
  <c r="B200" i="7"/>
  <c r="L196" i="7"/>
  <c r="L195" i="7"/>
  <c r="M193" i="7"/>
  <c r="L193" i="7"/>
  <c r="D193" i="7"/>
  <c r="E193" i="7" s="1"/>
  <c r="M192" i="7"/>
  <c r="L192" i="7"/>
  <c r="D192" i="7"/>
  <c r="E192" i="7" s="1"/>
  <c r="M191" i="7"/>
  <c r="L191" i="7"/>
  <c r="D191" i="7"/>
  <c r="E191" i="7" s="1"/>
  <c r="M190" i="7"/>
  <c r="L190" i="7"/>
  <c r="D190" i="7"/>
  <c r="E190" i="7" s="1"/>
  <c r="B190" i="7"/>
  <c r="M189" i="7"/>
  <c r="L189" i="7"/>
  <c r="D189" i="7"/>
  <c r="B189" i="7"/>
  <c r="M188" i="7"/>
  <c r="L188" i="7"/>
  <c r="D188" i="7"/>
  <c r="B188" i="7"/>
  <c r="M187" i="7"/>
  <c r="L187" i="7"/>
  <c r="D187" i="7"/>
  <c r="B187" i="7"/>
  <c r="M186" i="7"/>
  <c r="L186" i="7"/>
  <c r="D186" i="7"/>
  <c r="B186" i="7"/>
  <c r="M185" i="7"/>
  <c r="L185" i="7"/>
  <c r="D185" i="7"/>
  <c r="B185" i="7"/>
  <c r="M184" i="7"/>
  <c r="L184" i="7"/>
  <c r="D184" i="7"/>
  <c r="B184" i="7"/>
  <c r="M183" i="7"/>
  <c r="L183" i="7"/>
  <c r="D183" i="7"/>
  <c r="B183" i="7"/>
  <c r="M182" i="7"/>
  <c r="L182" i="7"/>
  <c r="D182" i="7"/>
  <c r="B182" i="7"/>
  <c r="L178" i="7"/>
  <c r="L177" i="7"/>
  <c r="M175" i="7"/>
  <c r="L175" i="7"/>
  <c r="D175" i="7"/>
  <c r="E175" i="7" s="1"/>
  <c r="M174" i="7"/>
  <c r="L174" i="7"/>
  <c r="D174" i="7"/>
  <c r="E174" i="7" s="1"/>
  <c r="M173" i="7"/>
  <c r="L173" i="7"/>
  <c r="D173" i="7"/>
  <c r="E173" i="7" s="1"/>
  <c r="M172" i="7"/>
  <c r="L172" i="7"/>
  <c r="D172" i="7"/>
  <c r="E172" i="7" s="1"/>
  <c r="B172" i="7"/>
  <c r="M171" i="7"/>
  <c r="L171" i="7"/>
  <c r="D171" i="7"/>
  <c r="B171" i="7"/>
  <c r="M170" i="7"/>
  <c r="L170" i="7"/>
  <c r="D170" i="7"/>
  <c r="B170" i="7"/>
  <c r="M169" i="7"/>
  <c r="L169" i="7"/>
  <c r="D169" i="7"/>
  <c r="B169" i="7"/>
  <c r="M168" i="7"/>
  <c r="L168" i="7"/>
  <c r="D168" i="7"/>
  <c r="B168" i="7"/>
  <c r="M167" i="7"/>
  <c r="L167" i="7"/>
  <c r="D167" i="7"/>
  <c r="B167" i="7"/>
  <c r="M166" i="7"/>
  <c r="L166" i="7"/>
  <c r="D166" i="7"/>
  <c r="B166" i="7"/>
  <c r="M165" i="7"/>
  <c r="L165" i="7"/>
  <c r="D165" i="7"/>
  <c r="B165" i="7"/>
  <c r="M164" i="7"/>
  <c r="K164" i="7" s="1"/>
  <c r="D164" i="7"/>
  <c r="B164" i="7"/>
  <c r="M159" i="7"/>
  <c r="K159" i="7" s="1"/>
  <c r="G159" i="7" s="1"/>
  <c r="H159" i="7" s="1"/>
  <c r="D159" i="7"/>
  <c r="B159" i="7"/>
  <c r="B158" i="7" s="1"/>
  <c r="L155" i="7"/>
  <c r="L154" i="7"/>
  <c r="M152" i="7"/>
  <c r="L152" i="7"/>
  <c r="D152" i="7"/>
  <c r="E152" i="7" s="1"/>
  <c r="M151" i="7"/>
  <c r="L151" i="7"/>
  <c r="D151" i="7"/>
  <c r="E151" i="7" s="1"/>
  <c r="M150" i="7"/>
  <c r="L150" i="7"/>
  <c r="D150" i="7"/>
  <c r="E150" i="7" s="1"/>
  <c r="B150" i="7"/>
  <c r="M148" i="7"/>
  <c r="L148" i="7"/>
  <c r="D148" i="7"/>
  <c r="B148" i="7"/>
  <c r="M147" i="7"/>
  <c r="L147" i="7"/>
  <c r="D147" i="7"/>
  <c r="B147" i="7"/>
  <c r="M146" i="7"/>
  <c r="L146" i="7"/>
  <c r="D146" i="7"/>
  <c r="B146" i="7"/>
  <c r="M145" i="7"/>
  <c r="L145" i="7"/>
  <c r="D145" i="7"/>
  <c r="B145" i="7"/>
  <c r="M144" i="7"/>
  <c r="L144" i="7"/>
  <c r="D144" i="7"/>
  <c r="B144" i="7"/>
  <c r="M143" i="7"/>
  <c r="L143" i="7"/>
  <c r="D143" i="7"/>
  <c r="B143" i="7"/>
  <c r="M142" i="7"/>
  <c r="L142" i="7"/>
  <c r="D142" i="7"/>
  <c r="B142" i="7"/>
  <c r="M141" i="7"/>
  <c r="L141" i="7"/>
  <c r="D141" i="7"/>
  <c r="B141" i="7"/>
  <c r="M140" i="7"/>
  <c r="L140" i="7"/>
  <c r="D140" i="7"/>
  <c r="B140" i="7"/>
  <c r="M139" i="7"/>
  <c r="L139" i="7"/>
  <c r="D139" i="7"/>
  <c r="B139" i="7"/>
  <c r="L135" i="7"/>
  <c r="K135" i="7" s="1"/>
  <c r="L134" i="7"/>
  <c r="H134" i="7" s="1"/>
  <c r="M132" i="7"/>
  <c r="L132" i="7"/>
  <c r="D132" i="7"/>
  <c r="E132" i="7" s="1"/>
  <c r="M131" i="7"/>
  <c r="L131" i="7"/>
  <c r="D131" i="7"/>
  <c r="E131" i="7" s="1"/>
  <c r="M130" i="7"/>
  <c r="L130" i="7"/>
  <c r="D130" i="7"/>
  <c r="E130" i="7" s="1"/>
  <c r="B130" i="7"/>
  <c r="M129" i="7"/>
  <c r="L129" i="7"/>
  <c r="D129" i="7"/>
  <c r="E129" i="7" s="1"/>
  <c r="B129" i="7"/>
  <c r="M127" i="7"/>
  <c r="L127" i="7"/>
  <c r="D127" i="7"/>
  <c r="B127" i="7"/>
  <c r="M126" i="7"/>
  <c r="L126" i="7"/>
  <c r="D126" i="7"/>
  <c r="B126" i="7"/>
  <c r="M125" i="7"/>
  <c r="L125" i="7"/>
  <c r="D125" i="7"/>
  <c r="B125" i="7"/>
  <c r="M124" i="7"/>
  <c r="L124" i="7"/>
  <c r="D124" i="7"/>
  <c r="B124" i="7"/>
  <c r="M123" i="7"/>
  <c r="L123" i="7"/>
  <c r="D123" i="7"/>
  <c r="B123" i="7"/>
  <c r="M122" i="7"/>
  <c r="L122" i="7"/>
  <c r="D122" i="7"/>
  <c r="B122" i="7"/>
  <c r="M121" i="7"/>
  <c r="L121" i="7"/>
  <c r="D121" i="7"/>
  <c r="B121" i="7"/>
  <c r="M120" i="7"/>
  <c r="L120" i="7"/>
  <c r="D120" i="7"/>
  <c r="B120" i="7"/>
  <c r="M119" i="7"/>
  <c r="L119" i="7"/>
  <c r="D119" i="7"/>
  <c r="B119" i="7"/>
  <c r="M118" i="7"/>
  <c r="L118" i="7"/>
  <c r="D118" i="7"/>
  <c r="B118" i="7"/>
  <c r="M117" i="7"/>
  <c r="L117" i="7"/>
  <c r="D117" i="7"/>
  <c r="B117" i="7"/>
  <c r="M116" i="7"/>
  <c r="L116" i="7"/>
  <c r="D116" i="7"/>
  <c r="B116" i="7"/>
  <c r="L112" i="7"/>
  <c r="K112" i="7" s="1"/>
  <c r="L111" i="7"/>
  <c r="K111" i="7" s="1"/>
  <c r="H111" i="7" s="1"/>
  <c r="L110" i="7"/>
  <c r="K110" i="7" s="1"/>
  <c r="M108" i="7"/>
  <c r="L108" i="7"/>
  <c r="D108" i="7"/>
  <c r="B108" i="7"/>
  <c r="M107" i="7"/>
  <c r="L107" i="7"/>
  <c r="D107" i="7"/>
  <c r="E107" i="7" s="1"/>
  <c r="B107" i="7"/>
  <c r="M99" i="7"/>
  <c r="L99" i="7"/>
  <c r="D99" i="7"/>
  <c r="E99" i="7" s="1"/>
  <c r="M98" i="7"/>
  <c r="L98" i="7"/>
  <c r="D98" i="7"/>
  <c r="E98" i="7" s="1"/>
  <c r="M97" i="7"/>
  <c r="L97" i="7"/>
  <c r="D97" i="7"/>
  <c r="E97" i="7" s="1"/>
  <c r="M96" i="7"/>
  <c r="L96" i="7"/>
  <c r="D96" i="7"/>
  <c r="E96" i="7" s="1"/>
  <c r="B96" i="7"/>
  <c r="M95" i="7"/>
  <c r="L95" i="7"/>
  <c r="D95" i="7"/>
  <c r="E95" i="7" s="1"/>
  <c r="B95" i="7"/>
  <c r="M94" i="7"/>
  <c r="L94" i="7"/>
  <c r="D94" i="7"/>
  <c r="E94" i="7" s="1"/>
  <c r="B94" i="7"/>
  <c r="M93" i="7"/>
  <c r="L93" i="7"/>
  <c r="D93" i="7"/>
  <c r="B93" i="7"/>
  <c r="M92" i="7"/>
  <c r="L92" i="7"/>
  <c r="D92" i="7"/>
  <c r="B92" i="7"/>
  <c r="M91" i="7"/>
  <c r="L91" i="7"/>
  <c r="D91" i="7"/>
  <c r="B91" i="7"/>
  <c r="M90" i="7"/>
  <c r="L90" i="7"/>
  <c r="D90" i="7"/>
  <c r="B90" i="7"/>
  <c r="M89" i="7"/>
  <c r="L89" i="7"/>
  <c r="D89" i="7"/>
  <c r="B89" i="7"/>
  <c r="M88" i="7"/>
  <c r="L88" i="7"/>
  <c r="D88" i="7"/>
  <c r="B88" i="7"/>
  <c r="M87" i="7"/>
  <c r="L87" i="7"/>
  <c r="D87" i="7"/>
  <c r="B87" i="7"/>
  <c r="L83" i="7"/>
  <c r="L82" i="7"/>
  <c r="M80" i="7"/>
  <c r="L80" i="7"/>
  <c r="D80" i="7"/>
  <c r="E80" i="7" s="1"/>
  <c r="M79" i="7"/>
  <c r="L79" i="7"/>
  <c r="D79" i="7"/>
  <c r="E79" i="7" s="1"/>
  <c r="M78" i="7"/>
  <c r="L78" i="7"/>
  <c r="D78" i="7"/>
  <c r="E78" i="7" s="1"/>
  <c r="M77" i="7"/>
  <c r="L77" i="7"/>
  <c r="D77" i="7"/>
  <c r="E77" i="7" s="1"/>
  <c r="B77" i="7"/>
  <c r="M76" i="7"/>
  <c r="L76" i="7"/>
  <c r="D76" i="7"/>
  <c r="B76" i="7"/>
  <c r="M75" i="7"/>
  <c r="L75" i="7"/>
  <c r="D75" i="7"/>
  <c r="B75" i="7"/>
  <c r="M74" i="7"/>
  <c r="L74" i="7"/>
  <c r="D74" i="7"/>
  <c r="B74" i="7"/>
  <c r="M73" i="7"/>
  <c r="L73" i="7"/>
  <c r="D73" i="7"/>
  <c r="B73" i="7"/>
  <c r="M72" i="7"/>
  <c r="L72" i="7"/>
  <c r="D72" i="7"/>
  <c r="B72" i="7"/>
  <c r="M71" i="7"/>
  <c r="L71" i="7"/>
  <c r="D71" i="7"/>
  <c r="B71" i="7"/>
  <c r="M70" i="7"/>
  <c r="L70" i="7"/>
  <c r="D70" i="7"/>
  <c r="B70" i="7"/>
  <c r="M69" i="7"/>
  <c r="L69" i="7"/>
  <c r="D69" i="7"/>
  <c r="B69" i="7"/>
  <c r="L65" i="7"/>
  <c r="L64" i="7"/>
  <c r="M62" i="7"/>
  <c r="L62" i="7"/>
  <c r="D62" i="7"/>
  <c r="E62" i="7" s="1"/>
  <c r="M61" i="7"/>
  <c r="L61" i="7"/>
  <c r="D61" i="7"/>
  <c r="E61" i="7" s="1"/>
  <c r="M60" i="7"/>
  <c r="L60" i="7"/>
  <c r="D60" i="7"/>
  <c r="E60" i="7" s="1"/>
  <c r="M59" i="7"/>
  <c r="L59" i="7"/>
  <c r="D59" i="7"/>
  <c r="E59" i="7" s="1"/>
  <c r="B59" i="7"/>
  <c r="M58" i="7"/>
  <c r="L58" i="7"/>
  <c r="D58" i="7"/>
  <c r="B58" i="7"/>
  <c r="M57" i="7"/>
  <c r="L57" i="7"/>
  <c r="D57" i="7"/>
  <c r="B57" i="7"/>
  <c r="M56" i="7"/>
  <c r="L56" i="7"/>
  <c r="D56" i="7"/>
  <c r="B56" i="7"/>
  <c r="M55" i="7"/>
  <c r="L55" i="7"/>
  <c r="D55" i="7"/>
  <c r="B55" i="7"/>
  <c r="M54" i="7"/>
  <c r="L54" i="7"/>
  <c r="D54" i="7"/>
  <c r="B54" i="7"/>
  <c r="M53" i="7"/>
  <c r="L53" i="7"/>
  <c r="D53" i="7"/>
  <c r="B53" i="7"/>
  <c r="M52" i="7"/>
  <c r="L52" i="7"/>
  <c r="D52" i="7"/>
  <c r="B52" i="7"/>
  <c r="M51" i="7"/>
  <c r="K51" i="7" s="1"/>
  <c r="G51" i="7" s="1"/>
  <c r="H51" i="7" s="1"/>
  <c r="D51" i="7"/>
  <c r="B51" i="7"/>
  <c r="M46" i="7"/>
  <c r="K46" i="7" s="1"/>
  <c r="D46" i="7"/>
  <c r="B46" i="7"/>
  <c r="L42" i="7"/>
  <c r="L41" i="7"/>
  <c r="M39" i="7"/>
  <c r="L39" i="7"/>
  <c r="D39" i="7"/>
  <c r="E39" i="7" s="1"/>
  <c r="M38" i="7"/>
  <c r="L38" i="7"/>
  <c r="D38" i="7"/>
  <c r="E38" i="7" s="1"/>
  <c r="M37" i="7"/>
  <c r="L37" i="7"/>
  <c r="D37" i="7"/>
  <c r="E37" i="7" s="1"/>
  <c r="B37" i="7"/>
  <c r="M35" i="7"/>
  <c r="L35" i="7"/>
  <c r="D35" i="7"/>
  <c r="B35" i="7"/>
  <c r="M34" i="7"/>
  <c r="L34" i="7"/>
  <c r="D34" i="7"/>
  <c r="B34" i="7"/>
  <c r="M33" i="7"/>
  <c r="L33" i="7"/>
  <c r="D33" i="7"/>
  <c r="B33" i="7"/>
  <c r="M32" i="7"/>
  <c r="L32" i="7"/>
  <c r="D32" i="7"/>
  <c r="B32" i="7"/>
  <c r="M31" i="7"/>
  <c r="L31" i="7"/>
  <c r="D31" i="7"/>
  <c r="B31" i="7"/>
  <c r="M30" i="7"/>
  <c r="L30" i="7"/>
  <c r="D30" i="7"/>
  <c r="B30" i="7"/>
  <c r="M29" i="7"/>
  <c r="L29" i="7"/>
  <c r="D29" i="7"/>
  <c r="B29" i="7"/>
  <c r="M28" i="7"/>
  <c r="L28" i="7"/>
  <c r="D28" i="7"/>
  <c r="B28" i="7"/>
  <c r="M27" i="7"/>
  <c r="L27" i="7"/>
  <c r="D27" i="7"/>
  <c r="B27" i="7"/>
  <c r="M26" i="7"/>
  <c r="L26" i="7"/>
  <c r="D26" i="7"/>
  <c r="B26" i="7"/>
  <c r="L22" i="7"/>
  <c r="H22" i="7" s="1"/>
  <c r="L21" i="7"/>
  <c r="K21" i="7" s="1"/>
  <c r="M19" i="7"/>
  <c r="L19" i="7"/>
  <c r="D19" i="7"/>
  <c r="E19" i="7" s="1"/>
  <c r="M18" i="7"/>
  <c r="L18" i="7"/>
  <c r="D18" i="7"/>
  <c r="E18" i="7" s="1"/>
  <c r="M17" i="7"/>
  <c r="L17" i="7"/>
  <c r="D17" i="7"/>
  <c r="E17" i="7" s="1"/>
  <c r="B17" i="7"/>
  <c r="M16" i="7"/>
  <c r="L16" i="7"/>
  <c r="D16" i="7"/>
  <c r="E16" i="7" s="1"/>
  <c r="B16" i="7"/>
  <c r="M14" i="7"/>
  <c r="L14" i="7"/>
  <c r="D14" i="7"/>
  <c r="B14" i="7"/>
  <c r="M13" i="7"/>
  <c r="L13" i="7"/>
  <c r="D13" i="7"/>
  <c r="B13" i="7"/>
  <c r="M12" i="7"/>
  <c r="L12" i="7"/>
  <c r="D12" i="7"/>
  <c r="B12" i="7"/>
  <c r="M11" i="7"/>
  <c r="L11" i="7"/>
  <c r="D11" i="7"/>
  <c r="B11" i="7"/>
  <c r="M10" i="7"/>
  <c r="L10" i="7"/>
  <c r="D10" i="7"/>
  <c r="B10" i="7"/>
  <c r="M9" i="7"/>
  <c r="L9" i="7"/>
  <c r="D9" i="7"/>
  <c r="B9" i="7"/>
  <c r="M8" i="7"/>
  <c r="L8" i="7"/>
  <c r="D8" i="7"/>
  <c r="B8" i="7"/>
  <c r="M7" i="7"/>
  <c r="L7" i="7"/>
  <c r="D7" i="7"/>
  <c r="B7" i="7"/>
  <c r="M6" i="7"/>
  <c r="L6" i="7"/>
  <c r="D6" i="7"/>
  <c r="B6" i="7"/>
  <c r="M5" i="7"/>
  <c r="L5" i="7"/>
  <c r="D5" i="7"/>
  <c r="B5" i="7"/>
  <c r="M4" i="7"/>
  <c r="L4" i="7"/>
  <c r="D4" i="7"/>
  <c r="B4" i="7"/>
  <c r="M3" i="7"/>
  <c r="L3" i="7"/>
  <c r="D3" i="7"/>
  <c r="B3" i="7"/>
  <c r="L895" i="7"/>
  <c r="L894" i="7"/>
  <c r="K893" i="7"/>
  <c r="H893" i="7" s="1"/>
  <c r="J893" i="7"/>
  <c r="K892" i="7"/>
  <c r="J892" i="7"/>
  <c r="K891" i="7"/>
  <c r="H891" i="7" s="1"/>
  <c r="J891" i="7"/>
  <c r="J889" i="7"/>
  <c r="J888" i="7"/>
  <c r="E888" i="7"/>
  <c r="R887" i="7"/>
  <c r="Q887" i="7"/>
  <c r="M887" i="7" s="1"/>
  <c r="K887" i="7" s="1"/>
  <c r="J887" i="7"/>
  <c r="G887" i="7" s="1"/>
  <c r="H887" i="7" s="1"/>
  <c r="I886" i="7"/>
  <c r="H886" i="7"/>
  <c r="L885" i="7"/>
  <c r="L884" i="7"/>
  <c r="L883" i="7"/>
  <c r="J883" i="7"/>
  <c r="O882" i="7"/>
  <c r="O883" i="7" s="1"/>
  <c r="L882" i="7"/>
  <c r="J882" i="7"/>
  <c r="K880" i="7"/>
  <c r="G880" i="7" s="1"/>
  <c r="J880" i="7"/>
  <c r="E880" i="7"/>
  <c r="J879" i="7"/>
  <c r="E879" i="7"/>
  <c r="K878" i="7"/>
  <c r="G878" i="7" s="1"/>
  <c r="J878" i="7"/>
  <c r="K877" i="7"/>
  <c r="G877" i="7" s="1"/>
  <c r="H877" i="7" s="1"/>
  <c r="J877" i="7"/>
  <c r="E877" i="7"/>
  <c r="K876" i="7"/>
  <c r="J876" i="7"/>
  <c r="E876" i="7"/>
  <c r="K875" i="7"/>
  <c r="J875" i="7"/>
  <c r="E875" i="7"/>
  <c r="K874" i="7"/>
  <c r="G874" i="7" s="1"/>
  <c r="H874" i="7" s="1"/>
  <c r="J874" i="7"/>
  <c r="K873" i="7"/>
  <c r="G873" i="7" s="1"/>
  <c r="H873" i="7" s="1"/>
  <c r="J873" i="7"/>
  <c r="K872" i="7"/>
  <c r="J872" i="7"/>
  <c r="K871" i="7"/>
  <c r="J871" i="7"/>
  <c r="O870" i="7"/>
  <c r="K870" i="7"/>
  <c r="J870" i="7"/>
  <c r="H869" i="7"/>
  <c r="I869" i="7" s="1"/>
  <c r="L868" i="7"/>
  <c r="L867" i="7"/>
  <c r="J866" i="7"/>
  <c r="O865" i="7"/>
  <c r="O866" i="7" s="1"/>
  <c r="J865" i="7"/>
  <c r="J863" i="7"/>
  <c r="E863" i="7"/>
  <c r="K862" i="7"/>
  <c r="J862" i="7"/>
  <c r="K861" i="7"/>
  <c r="J861" i="7"/>
  <c r="E861" i="7"/>
  <c r="J860" i="7"/>
  <c r="J859" i="7"/>
  <c r="E859" i="7"/>
  <c r="J858" i="7"/>
  <c r="J857" i="7"/>
  <c r="E857" i="7"/>
  <c r="J856" i="7"/>
  <c r="J855" i="7"/>
  <c r="E855" i="7"/>
  <c r="J854" i="7"/>
  <c r="J853" i="7"/>
  <c r="E853" i="7"/>
  <c r="O852" i="7"/>
  <c r="J852" i="7"/>
  <c r="H851" i="7"/>
  <c r="I851" i="7" s="1"/>
  <c r="L850" i="7"/>
  <c r="L849" i="7"/>
  <c r="J848" i="7"/>
  <c r="O847" i="7"/>
  <c r="O848" i="7" s="1"/>
  <c r="J847" i="7"/>
  <c r="K845" i="7"/>
  <c r="J845" i="7"/>
  <c r="J844" i="7"/>
  <c r="E844" i="7"/>
  <c r="J843" i="7"/>
  <c r="J842" i="7"/>
  <c r="E842" i="7"/>
  <c r="J841" i="7"/>
  <c r="J840" i="7"/>
  <c r="E840" i="7"/>
  <c r="J839" i="7"/>
  <c r="J838" i="7"/>
  <c r="J837" i="7"/>
  <c r="J836" i="7"/>
  <c r="E836" i="7"/>
  <c r="J835" i="7"/>
  <c r="O834" i="7"/>
  <c r="K834" i="7"/>
  <c r="G834" i="7" s="1"/>
  <c r="H834" i="7" s="1"/>
  <c r="J834" i="7"/>
  <c r="H833" i="7"/>
  <c r="I833" i="7" s="1"/>
  <c r="P829" i="7"/>
  <c r="K829" i="7"/>
  <c r="G829" i="7" s="1"/>
  <c r="H829" i="7" s="1"/>
  <c r="J829" i="7"/>
  <c r="N828" i="7"/>
  <c r="I828" i="7"/>
  <c r="H828" i="7"/>
  <c r="L827" i="7"/>
  <c r="L826" i="7"/>
  <c r="J825" i="7"/>
  <c r="O824" i="7"/>
  <c r="O825" i="7" s="1"/>
  <c r="O822" i="7" s="1"/>
  <c r="J824" i="7"/>
  <c r="J822" i="7"/>
  <c r="E822" i="7"/>
  <c r="K821" i="7"/>
  <c r="G821" i="7" s="1"/>
  <c r="J821" i="7"/>
  <c r="J820" i="7"/>
  <c r="E820" i="7"/>
  <c r="J819" i="7"/>
  <c r="C819" i="7"/>
  <c r="J818" i="7"/>
  <c r="K817" i="7"/>
  <c r="G817" i="7" s="1"/>
  <c r="H817" i="7" s="1"/>
  <c r="J817" i="7"/>
  <c r="J816" i="7"/>
  <c r="K815" i="7"/>
  <c r="J815" i="7"/>
  <c r="J814" i="7"/>
  <c r="K813" i="7"/>
  <c r="G813" i="7" s="1"/>
  <c r="H813" i="7" s="1"/>
  <c r="J813" i="7"/>
  <c r="J812" i="7"/>
  <c r="K811" i="7"/>
  <c r="J811" i="7"/>
  <c r="J810" i="7"/>
  <c r="K809" i="7"/>
  <c r="G809" i="7" s="1"/>
  <c r="H809" i="7" s="1"/>
  <c r="J809" i="7"/>
  <c r="I808" i="7"/>
  <c r="H808" i="7"/>
  <c r="L807" i="7"/>
  <c r="L806" i="7"/>
  <c r="K805" i="7"/>
  <c r="J805" i="7"/>
  <c r="H805" i="7" s="1"/>
  <c r="O804" i="7"/>
  <c r="O805" i="7" s="1"/>
  <c r="O802" i="7" s="1"/>
  <c r="J804" i="7"/>
  <c r="J802" i="7"/>
  <c r="E802" i="7"/>
  <c r="O801" i="7"/>
  <c r="J801" i="7"/>
  <c r="O800" i="7"/>
  <c r="K800" i="7"/>
  <c r="J800" i="7"/>
  <c r="E800" i="7"/>
  <c r="J799" i="7"/>
  <c r="J798" i="7"/>
  <c r="C798" i="7"/>
  <c r="J797" i="7"/>
  <c r="K796" i="7"/>
  <c r="G796" i="7" s="1"/>
  <c r="H796" i="7" s="1"/>
  <c r="J796" i="7"/>
  <c r="J795" i="7"/>
  <c r="K794" i="7"/>
  <c r="J794" i="7"/>
  <c r="J793" i="7"/>
  <c r="K792" i="7"/>
  <c r="G792" i="7" s="1"/>
  <c r="H792" i="7" s="1"/>
  <c r="J792" i="7"/>
  <c r="J791" i="7"/>
  <c r="K790" i="7"/>
  <c r="J790" i="7"/>
  <c r="J789" i="7"/>
  <c r="K788" i="7"/>
  <c r="G788" i="7" s="1"/>
  <c r="H788" i="7" s="1"/>
  <c r="J788" i="7"/>
  <c r="J787" i="7"/>
  <c r="K786" i="7"/>
  <c r="J786" i="7"/>
  <c r="I785" i="7"/>
  <c r="H785" i="7"/>
  <c r="L784" i="7"/>
  <c r="L783" i="7"/>
  <c r="K782" i="7"/>
  <c r="J782" i="7"/>
  <c r="K781" i="7"/>
  <c r="J781" i="7"/>
  <c r="J780" i="7"/>
  <c r="J778" i="7"/>
  <c r="J777" i="7"/>
  <c r="E777" i="7"/>
  <c r="R776" i="7"/>
  <c r="Q776" i="7"/>
  <c r="M776" i="7"/>
  <c r="K776" i="7" s="1"/>
  <c r="G776" i="7" s="1"/>
  <c r="J776" i="7"/>
  <c r="H776" i="7"/>
  <c r="H775" i="7"/>
  <c r="I775" i="7" s="1"/>
  <c r="L774" i="7"/>
  <c r="L773" i="7"/>
  <c r="O772" i="7"/>
  <c r="L772" i="7"/>
  <c r="J772" i="7"/>
  <c r="O771" i="7"/>
  <c r="M771" i="7"/>
  <c r="L771" i="7"/>
  <c r="J771" i="7"/>
  <c r="O769" i="7"/>
  <c r="J769" i="7"/>
  <c r="E769" i="7"/>
  <c r="O768" i="7"/>
  <c r="J768" i="7"/>
  <c r="E768" i="7"/>
  <c r="O767" i="7"/>
  <c r="K767" i="7"/>
  <c r="J767" i="7"/>
  <c r="J766" i="7"/>
  <c r="E766" i="7"/>
  <c r="J765" i="7"/>
  <c r="J764" i="7"/>
  <c r="J763" i="7"/>
  <c r="J762" i="7"/>
  <c r="J761" i="7"/>
  <c r="J760" i="7"/>
  <c r="O759" i="7"/>
  <c r="J759" i="7"/>
  <c r="H758" i="7"/>
  <c r="I758" i="7" s="1"/>
  <c r="L757" i="7"/>
  <c r="L756" i="7"/>
  <c r="J755" i="7"/>
  <c r="O754" i="7"/>
  <c r="J754" i="7"/>
  <c r="J752" i="7"/>
  <c r="E752" i="7"/>
  <c r="K751" i="7"/>
  <c r="G751" i="7" s="1"/>
  <c r="J751" i="7"/>
  <c r="J750" i="7"/>
  <c r="J749" i="7"/>
  <c r="E749" i="7"/>
  <c r="J748" i="7"/>
  <c r="J747" i="7"/>
  <c r="E747" i="7"/>
  <c r="J746" i="7"/>
  <c r="J745" i="7"/>
  <c r="J744" i="7"/>
  <c r="J743" i="7"/>
  <c r="J742" i="7"/>
  <c r="O741" i="7"/>
  <c r="J741" i="7"/>
  <c r="H740" i="7"/>
  <c r="I740" i="7" s="1"/>
  <c r="L739" i="7"/>
  <c r="L738" i="7"/>
  <c r="J737" i="7"/>
  <c r="O736" i="7"/>
  <c r="J736" i="7"/>
  <c r="J734" i="7"/>
  <c r="J733" i="7"/>
  <c r="J732" i="7"/>
  <c r="J731" i="7"/>
  <c r="J730" i="7"/>
  <c r="J729" i="7"/>
  <c r="J728" i="7"/>
  <c r="J727" i="7"/>
  <c r="J726" i="7"/>
  <c r="J725" i="7"/>
  <c r="J724" i="7"/>
  <c r="O723" i="7"/>
  <c r="J723" i="7"/>
  <c r="H722" i="7"/>
  <c r="I722" i="7" s="1"/>
  <c r="P718" i="7"/>
  <c r="K718" i="7"/>
  <c r="G718" i="7" s="1"/>
  <c r="H718" i="7" s="1"/>
  <c r="J718" i="7"/>
  <c r="N717" i="7"/>
  <c r="I717" i="7"/>
  <c r="H717" i="7"/>
  <c r="L716" i="7"/>
  <c r="L715" i="7"/>
  <c r="J714" i="7"/>
  <c r="O713" i="7"/>
  <c r="O714" i="7" s="1"/>
  <c r="O711" i="7" s="1"/>
  <c r="J713" i="7"/>
  <c r="J711" i="7"/>
  <c r="J710" i="7"/>
  <c r="J709" i="7"/>
  <c r="J708" i="7"/>
  <c r="C708" i="7"/>
  <c r="J707" i="7"/>
  <c r="J706" i="7"/>
  <c r="J705" i="7"/>
  <c r="J704" i="7"/>
  <c r="J703" i="7"/>
  <c r="J702" i="7"/>
  <c r="J701" i="7"/>
  <c r="J700" i="7"/>
  <c r="J699" i="7"/>
  <c r="J698" i="7"/>
  <c r="I697" i="7"/>
  <c r="H697" i="7"/>
  <c r="L696" i="7"/>
  <c r="L695" i="7"/>
  <c r="O694" i="7"/>
  <c r="O691" i="7" s="1"/>
  <c r="J694" i="7"/>
  <c r="O693" i="7"/>
  <c r="J693" i="7"/>
  <c r="J691" i="7"/>
  <c r="O690" i="7"/>
  <c r="J690" i="7"/>
  <c r="O689" i="7"/>
  <c r="J689" i="7"/>
  <c r="J688" i="7"/>
  <c r="J687" i="7"/>
  <c r="C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I674" i="7"/>
  <c r="H674" i="7"/>
  <c r="L673" i="7"/>
  <c r="L672" i="7"/>
  <c r="J671" i="7"/>
  <c r="J670" i="7"/>
  <c r="J669" i="7"/>
  <c r="J667" i="7"/>
  <c r="J666" i="7"/>
  <c r="R665" i="7"/>
  <c r="Q665" i="7"/>
  <c r="M665" i="7" s="1"/>
  <c r="K665" i="7" s="1"/>
  <c r="J665" i="7"/>
  <c r="G665" i="7" s="1"/>
  <c r="H665" i="7" s="1"/>
  <c r="I664" i="7"/>
  <c r="H664" i="7"/>
  <c r="L663" i="7"/>
  <c r="L662" i="7"/>
  <c r="L661" i="7"/>
  <c r="J661" i="7"/>
  <c r="O660" i="7"/>
  <c r="O661" i="7" s="1"/>
  <c r="M660" i="7"/>
  <c r="K660" i="7" s="1"/>
  <c r="L660" i="7"/>
  <c r="J660" i="7"/>
  <c r="J658" i="7"/>
  <c r="O657" i="7"/>
  <c r="J657" i="7"/>
  <c r="O656" i="7"/>
  <c r="J656" i="7"/>
  <c r="J655" i="7"/>
  <c r="J654" i="7"/>
  <c r="J653" i="7"/>
  <c r="J652" i="7"/>
  <c r="J651" i="7"/>
  <c r="J650" i="7"/>
  <c r="J649" i="7"/>
  <c r="O648" i="7"/>
  <c r="J648" i="7"/>
  <c r="H647" i="7"/>
  <c r="I647" i="7" s="1"/>
  <c r="L646" i="7"/>
  <c r="L645" i="7"/>
  <c r="J644" i="7"/>
  <c r="O643" i="7"/>
  <c r="J643" i="7"/>
  <c r="J641" i="7"/>
  <c r="J640" i="7"/>
  <c r="J639" i="7"/>
  <c r="J638" i="7"/>
  <c r="J637" i="7"/>
  <c r="J636" i="7"/>
  <c r="J635" i="7"/>
  <c r="J634" i="7"/>
  <c r="J633" i="7"/>
  <c r="J632" i="7"/>
  <c r="J631" i="7"/>
  <c r="O630" i="7"/>
  <c r="J630" i="7"/>
  <c r="H629" i="7"/>
  <c r="I629" i="7" s="1"/>
  <c r="L628" i="7"/>
  <c r="L627" i="7"/>
  <c r="J626" i="7"/>
  <c r="O625" i="7"/>
  <c r="O626" i="7" s="1"/>
  <c r="J625" i="7"/>
  <c r="J623" i="7"/>
  <c r="J622" i="7"/>
  <c r="J621" i="7"/>
  <c r="J620" i="7"/>
  <c r="J619" i="7"/>
  <c r="J618" i="7"/>
  <c r="J617" i="7"/>
  <c r="J616" i="7"/>
  <c r="J615" i="7"/>
  <c r="J614" i="7"/>
  <c r="J613" i="7"/>
  <c r="O612" i="7"/>
  <c r="J612" i="7"/>
  <c r="I611" i="7"/>
  <c r="H611" i="7"/>
  <c r="P607" i="7"/>
  <c r="J607" i="7"/>
  <c r="N606" i="7"/>
  <c r="I606" i="7"/>
  <c r="H606" i="7"/>
  <c r="L605" i="7"/>
  <c r="L604" i="7"/>
  <c r="J603" i="7"/>
  <c r="O602" i="7"/>
  <c r="J602" i="7"/>
  <c r="J600" i="7"/>
  <c r="J599" i="7"/>
  <c r="J598" i="7"/>
  <c r="J597" i="7"/>
  <c r="C597" i="7"/>
  <c r="J596" i="7"/>
  <c r="J595" i="7"/>
  <c r="J594" i="7"/>
  <c r="J593" i="7"/>
  <c r="J592" i="7"/>
  <c r="J591" i="7"/>
  <c r="J590" i="7"/>
  <c r="J589" i="7"/>
  <c r="J588" i="7"/>
  <c r="J587" i="7"/>
  <c r="I586" i="7"/>
  <c r="H586" i="7"/>
  <c r="L585" i="7"/>
  <c r="L584" i="7"/>
  <c r="O583" i="7"/>
  <c r="O580" i="7" s="1"/>
  <c r="J583" i="7"/>
  <c r="O582" i="7"/>
  <c r="J582" i="7"/>
  <c r="J580" i="7"/>
  <c r="O579" i="7"/>
  <c r="J579" i="7"/>
  <c r="O578" i="7"/>
  <c r="J578" i="7"/>
  <c r="J577" i="7"/>
  <c r="J576" i="7"/>
  <c r="C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I563" i="7"/>
  <c r="H563" i="7"/>
  <c r="L562" i="7"/>
  <c r="L561" i="7"/>
  <c r="J560" i="7"/>
  <c r="J559" i="7"/>
  <c r="J558" i="7"/>
  <c r="J556" i="7"/>
  <c r="J555" i="7"/>
  <c r="R554" i="7"/>
  <c r="Q554" i="7"/>
  <c r="M554" i="7"/>
  <c r="K554" i="7" s="1"/>
  <c r="J554" i="7"/>
  <c r="G554" i="7"/>
  <c r="H554" i="7" s="1"/>
  <c r="I553" i="7"/>
  <c r="H553" i="7"/>
  <c r="L552" i="7"/>
  <c r="L551" i="7"/>
  <c r="O550" i="7"/>
  <c r="L550" i="7"/>
  <c r="J550" i="7"/>
  <c r="O549" i="7"/>
  <c r="M549" i="7" s="1"/>
  <c r="L549" i="7"/>
  <c r="J549" i="7"/>
  <c r="O547" i="7"/>
  <c r="J547" i="7"/>
  <c r="O546" i="7"/>
  <c r="J546" i="7"/>
  <c r="O545" i="7"/>
  <c r="J545" i="7"/>
  <c r="J544" i="7"/>
  <c r="J543" i="7"/>
  <c r="J542" i="7"/>
  <c r="J541" i="7"/>
  <c r="J540" i="7"/>
  <c r="J539" i="7"/>
  <c r="J538" i="7"/>
  <c r="J537" i="7"/>
  <c r="J536" i="7"/>
  <c r="O535" i="7"/>
  <c r="J535" i="7"/>
  <c r="H534" i="7"/>
  <c r="I534" i="7" s="1"/>
  <c r="L533" i="7"/>
  <c r="L532" i="7"/>
  <c r="O531" i="7"/>
  <c r="J531" i="7"/>
  <c r="O530" i="7"/>
  <c r="M530" i="7"/>
  <c r="J530" i="7"/>
  <c r="O528" i="7"/>
  <c r="J528" i="7"/>
  <c r="O527" i="7"/>
  <c r="J527" i="7"/>
  <c r="O526" i="7"/>
  <c r="J526" i="7"/>
  <c r="J525" i="7"/>
  <c r="J524" i="7"/>
  <c r="J523" i="7"/>
  <c r="J522" i="7"/>
  <c r="J521" i="7"/>
  <c r="J520" i="7"/>
  <c r="J519" i="7"/>
  <c r="J518" i="7"/>
  <c r="O517" i="7"/>
  <c r="J517" i="7"/>
  <c r="H516" i="7"/>
  <c r="I516" i="7" s="1"/>
  <c r="L515" i="7"/>
  <c r="L514" i="7"/>
  <c r="J513" i="7"/>
  <c r="O512" i="7"/>
  <c r="O513" i="7" s="1"/>
  <c r="J512" i="7"/>
  <c r="J510" i="7"/>
  <c r="J509" i="7"/>
  <c r="J508" i="7"/>
  <c r="J507" i="7"/>
  <c r="J506" i="7"/>
  <c r="J505" i="7"/>
  <c r="J504" i="7"/>
  <c r="J503" i="7"/>
  <c r="J502" i="7"/>
  <c r="J501" i="7"/>
  <c r="J500" i="7"/>
  <c r="O499" i="7"/>
  <c r="J499" i="7"/>
  <c r="I498" i="7"/>
  <c r="H498" i="7"/>
  <c r="P494" i="7"/>
  <c r="J494" i="7"/>
  <c r="N493" i="7"/>
  <c r="I493" i="7"/>
  <c r="H493" i="7"/>
  <c r="L492" i="7"/>
  <c r="L491" i="7"/>
  <c r="J490" i="7"/>
  <c r="O489" i="7"/>
  <c r="J489" i="7"/>
  <c r="J487" i="7"/>
  <c r="J486" i="7"/>
  <c r="J485" i="7"/>
  <c r="J484" i="7"/>
  <c r="C484" i="7"/>
  <c r="J483" i="7"/>
  <c r="J482" i="7"/>
  <c r="J481" i="7"/>
  <c r="J480" i="7"/>
  <c r="J479" i="7"/>
  <c r="J478" i="7"/>
  <c r="J477" i="7"/>
  <c r="J476" i="7"/>
  <c r="J475" i="7"/>
  <c r="J474" i="7"/>
  <c r="I473" i="7"/>
  <c r="H473" i="7"/>
  <c r="L472" i="7"/>
  <c r="L471" i="7"/>
  <c r="O470" i="7"/>
  <c r="O467" i="7" s="1"/>
  <c r="J470" i="7"/>
  <c r="O469" i="7"/>
  <c r="J469" i="7"/>
  <c r="J467" i="7"/>
  <c r="O466" i="7"/>
  <c r="J466" i="7"/>
  <c r="O465" i="7"/>
  <c r="J465" i="7"/>
  <c r="J464" i="7"/>
  <c r="J463" i="7"/>
  <c r="C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H450" i="7"/>
  <c r="I450" i="7" s="1"/>
  <c r="L449" i="7"/>
  <c r="L448" i="7"/>
  <c r="J447" i="7"/>
  <c r="J446" i="7"/>
  <c r="J445" i="7"/>
  <c r="J443" i="7"/>
  <c r="J442" i="7"/>
  <c r="R441" i="7"/>
  <c r="Q441" i="7"/>
  <c r="M441" i="7" s="1"/>
  <c r="K441" i="7" s="1"/>
  <c r="G441" i="7" s="1"/>
  <c r="H441" i="7" s="1"/>
  <c r="J441" i="7"/>
  <c r="H440" i="7"/>
  <c r="I440" i="7" s="1"/>
  <c r="L439" i="7"/>
  <c r="L438" i="7"/>
  <c r="O437" i="7"/>
  <c r="L437" i="7"/>
  <c r="J437" i="7"/>
  <c r="O436" i="7"/>
  <c r="M436" i="7"/>
  <c r="K436" i="7" s="1"/>
  <c r="H436" i="7" s="1"/>
  <c r="L436" i="7"/>
  <c r="J436" i="7"/>
  <c r="O434" i="7"/>
  <c r="J434" i="7"/>
  <c r="O433" i="7"/>
  <c r="J433" i="7"/>
  <c r="O432" i="7"/>
  <c r="J432" i="7"/>
  <c r="J431" i="7"/>
  <c r="J430" i="7"/>
  <c r="J429" i="7"/>
  <c r="J428" i="7"/>
  <c r="J427" i="7"/>
  <c r="J426" i="7"/>
  <c r="J425" i="7"/>
  <c r="O424" i="7"/>
  <c r="J424" i="7"/>
  <c r="H423" i="7"/>
  <c r="I423" i="7" s="1"/>
  <c r="L422" i="7"/>
  <c r="L421" i="7"/>
  <c r="J420" i="7"/>
  <c r="O419" i="7"/>
  <c r="O420" i="7" s="1"/>
  <c r="J419" i="7"/>
  <c r="J417" i="7"/>
  <c r="J416" i="7"/>
  <c r="J415" i="7"/>
  <c r="J414" i="7"/>
  <c r="J413" i="7"/>
  <c r="J412" i="7"/>
  <c r="J411" i="7"/>
  <c r="J410" i="7"/>
  <c r="J409" i="7"/>
  <c r="J408" i="7"/>
  <c r="J407" i="7"/>
  <c r="O406" i="7"/>
  <c r="J406" i="7"/>
  <c r="H405" i="7"/>
  <c r="I405" i="7" s="1"/>
  <c r="L404" i="7"/>
  <c r="L403" i="7"/>
  <c r="J402" i="7"/>
  <c r="O401" i="7"/>
  <c r="J401" i="7"/>
  <c r="J399" i="7"/>
  <c r="J398" i="7"/>
  <c r="J397" i="7"/>
  <c r="J396" i="7"/>
  <c r="J395" i="7"/>
  <c r="J394" i="7"/>
  <c r="J393" i="7"/>
  <c r="J392" i="7"/>
  <c r="J391" i="7"/>
  <c r="J390" i="7"/>
  <c r="J389" i="7"/>
  <c r="O388" i="7"/>
  <c r="J388" i="7"/>
  <c r="I387" i="7"/>
  <c r="H387" i="7"/>
  <c r="P383" i="7"/>
  <c r="J383" i="7"/>
  <c r="N382" i="7"/>
  <c r="I382" i="7"/>
  <c r="H382" i="7"/>
  <c r="L381" i="7"/>
  <c r="L380" i="7"/>
  <c r="J379" i="7"/>
  <c r="O378" i="7"/>
  <c r="O379" i="7" s="1"/>
  <c r="O376" i="7" s="1"/>
  <c r="J378" i="7"/>
  <c r="J376" i="7"/>
  <c r="O375" i="7"/>
  <c r="J375" i="7"/>
  <c r="J374" i="7"/>
  <c r="J373" i="7"/>
  <c r="C373" i="7"/>
  <c r="J372" i="7"/>
  <c r="J371" i="7"/>
  <c r="J370" i="7"/>
  <c r="J369" i="7"/>
  <c r="J368" i="7"/>
  <c r="J367" i="7"/>
  <c r="J366" i="7"/>
  <c r="J365" i="7"/>
  <c r="J364" i="7"/>
  <c r="J363" i="7"/>
  <c r="I362" i="7"/>
  <c r="H362" i="7"/>
  <c r="L361" i="7"/>
  <c r="L360" i="7"/>
  <c r="O359" i="7"/>
  <c r="O356" i="7" s="1"/>
  <c r="J359" i="7"/>
  <c r="O358" i="7"/>
  <c r="J358" i="7"/>
  <c r="J356" i="7"/>
  <c r="O355" i="7"/>
  <c r="J355" i="7"/>
  <c r="O354" i="7"/>
  <c r="J354" i="7"/>
  <c r="J353" i="7"/>
  <c r="J352" i="7"/>
  <c r="C352" i="7"/>
  <c r="L352" i="7" s="1"/>
  <c r="J351" i="7"/>
  <c r="J350" i="7"/>
  <c r="J349" i="7"/>
  <c r="J348" i="7"/>
  <c r="J347" i="7"/>
  <c r="J346" i="7"/>
  <c r="J345" i="7"/>
  <c r="J344" i="7"/>
  <c r="J343" i="7"/>
  <c r="J342" i="7"/>
  <c r="J341" i="7"/>
  <c r="J340" i="7"/>
  <c r="H339" i="7"/>
  <c r="I339" i="7" s="1"/>
  <c r="L338" i="7"/>
  <c r="L337" i="7"/>
  <c r="J336" i="7"/>
  <c r="J335" i="7"/>
  <c r="J334" i="7"/>
  <c r="J332" i="7"/>
  <c r="J331" i="7"/>
  <c r="R330" i="7"/>
  <c r="Q330" i="7"/>
  <c r="M330" i="7"/>
  <c r="K330" i="7" s="1"/>
  <c r="G330" i="7" s="1"/>
  <c r="H330" i="7" s="1"/>
  <c r="J330" i="7"/>
  <c r="H329" i="7"/>
  <c r="I329" i="7" s="1"/>
  <c r="L328" i="7"/>
  <c r="L327" i="7"/>
  <c r="O326" i="7"/>
  <c r="L326" i="7"/>
  <c r="J326" i="7"/>
  <c r="O325" i="7"/>
  <c r="M325" i="7"/>
  <c r="L325" i="7"/>
  <c r="J325" i="7"/>
  <c r="O323" i="7"/>
  <c r="J323" i="7"/>
  <c r="O322" i="7"/>
  <c r="J322" i="7"/>
  <c r="O321" i="7"/>
  <c r="J321" i="7"/>
  <c r="J320" i="7"/>
  <c r="J319" i="7"/>
  <c r="J318" i="7"/>
  <c r="J317" i="7"/>
  <c r="J316" i="7"/>
  <c r="J315" i="7"/>
  <c r="J314" i="7"/>
  <c r="O313" i="7"/>
  <c r="J313" i="7"/>
  <c r="H312" i="7"/>
  <c r="I312" i="7" s="1"/>
  <c r="L311" i="7"/>
  <c r="L310" i="7"/>
  <c r="J309" i="7"/>
  <c r="O308" i="7"/>
  <c r="O309" i="7" s="1"/>
  <c r="J308" i="7"/>
  <c r="J306" i="7"/>
  <c r="J305" i="7"/>
  <c r="J304" i="7"/>
  <c r="J303" i="7"/>
  <c r="J302" i="7"/>
  <c r="J301" i="7"/>
  <c r="J300" i="7"/>
  <c r="J299" i="7"/>
  <c r="J298" i="7"/>
  <c r="J297" i="7"/>
  <c r="J296" i="7"/>
  <c r="O295" i="7"/>
  <c r="J295" i="7"/>
  <c r="H294" i="7"/>
  <c r="I294" i="7" s="1"/>
  <c r="L293" i="7"/>
  <c r="L292" i="7"/>
  <c r="J291" i="7"/>
  <c r="O290" i="7"/>
  <c r="O291" i="7" s="1"/>
  <c r="J290" i="7"/>
  <c r="J288" i="7"/>
  <c r="J287" i="7"/>
  <c r="J286" i="7"/>
  <c r="J285" i="7"/>
  <c r="J284" i="7"/>
  <c r="J283" i="7"/>
  <c r="J282" i="7"/>
  <c r="J281" i="7"/>
  <c r="J280" i="7"/>
  <c r="J279" i="7"/>
  <c r="J278" i="7"/>
  <c r="O277" i="7"/>
  <c r="J277" i="7"/>
  <c r="I276" i="7"/>
  <c r="H276" i="7"/>
  <c r="P272" i="7"/>
  <c r="J272" i="7"/>
  <c r="N271" i="7"/>
  <c r="I271" i="7"/>
  <c r="H271" i="7"/>
  <c r="L270" i="7"/>
  <c r="L269" i="7"/>
  <c r="J268" i="7"/>
  <c r="O267" i="7"/>
  <c r="O268" i="7" s="1"/>
  <c r="O265" i="7" s="1"/>
  <c r="J267" i="7"/>
  <c r="J265" i="7"/>
  <c r="J264" i="7"/>
  <c r="J263" i="7"/>
  <c r="J262" i="7"/>
  <c r="C262" i="7"/>
  <c r="D262" i="7" s="1"/>
  <c r="J261" i="7"/>
  <c r="J260" i="7"/>
  <c r="J259" i="7"/>
  <c r="J258" i="7"/>
  <c r="J257" i="7"/>
  <c r="J256" i="7"/>
  <c r="J255" i="7"/>
  <c r="J254" i="7"/>
  <c r="J253" i="7"/>
  <c r="J252" i="7"/>
  <c r="I251" i="7"/>
  <c r="H251" i="7"/>
  <c r="L250" i="7"/>
  <c r="L249" i="7"/>
  <c r="O248" i="7"/>
  <c r="O245" i="7" s="1"/>
  <c r="J248" i="7"/>
  <c r="O247" i="7"/>
  <c r="J247" i="7"/>
  <c r="J245" i="7"/>
  <c r="O244" i="7"/>
  <c r="J244" i="7"/>
  <c r="O243" i="7"/>
  <c r="J243" i="7"/>
  <c r="J242" i="7"/>
  <c r="J241" i="7"/>
  <c r="C241" i="7"/>
  <c r="D241" i="7" s="1"/>
  <c r="J240" i="7"/>
  <c r="J239" i="7"/>
  <c r="J238" i="7"/>
  <c r="J237" i="7"/>
  <c r="J236" i="7"/>
  <c r="J235" i="7"/>
  <c r="J234" i="7"/>
  <c r="J233" i="7"/>
  <c r="J232" i="7"/>
  <c r="J231" i="7"/>
  <c r="J230" i="7"/>
  <c r="J229" i="7"/>
  <c r="I228" i="7"/>
  <c r="H228" i="7"/>
  <c r="L227" i="7"/>
  <c r="L226" i="7"/>
  <c r="J225" i="7"/>
  <c r="J224" i="7"/>
  <c r="J223" i="7"/>
  <c r="J221" i="7"/>
  <c r="J220" i="7"/>
  <c r="R219" i="7"/>
  <c r="Q219" i="7"/>
  <c r="M219" i="7"/>
  <c r="K219" i="7" s="1"/>
  <c r="J219" i="7"/>
  <c r="G219" i="7" s="1"/>
  <c r="H219" i="7" s="1"/>
  <c r="H218" i="7"/>
  <c r="I218" i="7" s="1"/>
  <c r="L217" i="7"/>
  <c r="L216" i="7"/>
  <c r="L215" i="7"/>
  <c r="J215" i="7"/>
  <c r="O214" i="7"/>
  <c r="M214" i="7" s="1"/>
  <c r="L214" i="7"/>
  <c r="J214" i="7"/>
  <c r="O212" i="7"/>
  <c r="J212" i="7"/>
  <c r="O211" i="7"/>
  <c r="J211" i="7"/>
  <c r="O210" i="7"/>
  <c r="J210" i="7"/>
  <c r="J209" i="7"/>
  <c r="J208" i="7"/>
  <c r="J207" i="7"/>
  <c r="J206" i="7"/>
  <c r="J205" i="7"/>
  <c r="J204" i="7"/>
  <c r="J203" i="7"/>
  <c r="J202" i="7"/>
  <c r="J201" i="7"/>
  <c r="O200" i="7"/>
  <c r="J200" i="7"/>
  <c r="I199" i="7"/>
  <c r="H199" i="7"/>
  <c r="L198" i="7"/>
  <c r="L197" i="7"/>
  <c r="O196" i="7"/>
  <c r="J196" i="7"/>
  <c r="O195" i="7"/>
  <c r="M195" i="7"/>
  <c r="J195" i="7"/>
  <c r="O193" i="7"/>
  <c r="J193" i="7"/>
  <c r="O192" i="7"/>
  <c r="J192" i="7"/>
  <c r="O191" i="7"/>
  <c r="J191" i="7"/>
  <c r="J190" i="7"/>
  <c r="J189" i="7"/>
  <c r="J188" i="7"/>
  <c r="J187" i="7"/>
  <c r="J186" i="7"/>
  <c r="J185" i="7"/>
  <c r="J184" i="7"/>
  <c r="J183" i="7"/>
  <c r="O182" i="7"/>
  <c r="J182" i="7"/>
  <c r="I181" i="7"/>
  <c r="H181" i="7"/>
  <c r="L180" i="7"/>
  <c r="L179" i="7"/>
  <c r="O178" i="7"/>
  <c r="J178" i="7"/>
  <c r="O177" i="7"/>
  <c r="M177" i="7"/>
  <c r="J177" i="7"/>
  <c r="O175" i="7"/>
  <c r="J175" i="7"/>
  <c r="O174" i="7"/>
  <c r="J174" i="7"/>
  <c r="O173" i="7"/>
  <c r="J173" i="7"/>
  <c r="J172" i="7"/>
  <c r="J171" i="7"/>
  <c r="J170" i="7"/>
  <c r="J169" i="7"/>
  <c r="J168" i="7"/>
  <c r="J167" i="7"/>
  <c r="J166" i="7"/>
  <c r="J165" i="7"/>
  <c r="O164" i="7"/>
  <c r="J164" i="7"/>
  <c r="H163" i="7"/>
  <c r="I163" i="7" s="1"/>
  <c r="P159" i="7"/>
  <c r="J159" i="7"/>
  <c r="N158" i="7"/>
  <c r="I158" i="7"/>
  <c r="H158" i="7"/>
  <c r="L157" i="7"/>
  <c r="L156" i="7"/>
  <c r="J155" i="7"/>
  <c r="O154" i="7"/>
  <c r="J154" i="7"/>
  <c r="J152" i="7"/>
  <c r="J151" i="7"/>
  <c r="J150" i="7"/>
  <c r="J149" i="7"/>
  <c r="C149" i="7"/>
  <c r="D149" i="7" s="1"/>
  <c r="J148" i="7"/>
  <c r="J147" i="7"/>
  <c r="J146" i="7"/>
  <c r="J145" i="7"/>
  <c r="J144" i="7"/>
  <c r="J143" i="7"/>
  <c r="J142" i="7"/>
  <c r="J141" i="7"/>
  <c r="J140" i="7"/>
  <c r="J139" i="7"/>
  <c r="I138" i="7"/>
  <c r="H138" i="7"/>
  <c r="L137" i="7"/>
  <c r="L136" i="7"/>
  <c r="O135" i="7"/>
  <c r="J135" i="7"/>
  <c r="O134" i="7"/>
  <c r="O131" i="7" s="1"/>
  <c r="J134" i="7"/>
  <c r="O132" i="7"/>
  <c r="J132" i="7"/>
  <c r="J131" i="7"/>
  <c r="O130" i="7"/>
  <c r="J130" i="7"/>
  <c r="J129" i="7"/>
  <c r="J128" i="7"/>
  <c r="C128" i="7"/>
  <c r="D128" i="7" s="1"/>
  <c r="J127" i="7"/>
  <c r="J126" i="7"/>
  <c r="J125" i="7"/>
  <c r="J124" i="7"/>
  <c r="J123" i="7"/>
  <c r="J122" i="7"/>
  <c r="J121" i="7"/>
  <c r="J120" i="7"/>
  <c r="J119" i="7"/>
  <c r="J118" i="7"/>
  <c r="J117" i="7"/>
  <c r="J116" i="7"/>
  <c r="H115" i="7"/>
  <c r="I115" i="7" s="1"/>
  <c r="L114" i="7"/>
  <c r="L113" i="7"/>
  <c r="J112" i="7"/>
  <c r="J111" i="7"/>
  <c r="J110" i="7"/>
  <c r="J108" i="7"/>
  <c r="J107" i="7"/>
  <c r="R106" i="7"/>
  <c r="Q106" i="7"/>
  <c r="M106" i="7"/>
  <c r="K106" i="7" s="1"/>
  <c r="G106" i="7" s="1"/>
  <c r="H106" i="7" s="1"/>
  <c r="J106" i="7"/>
  <c r="H105" i="7"/>
  <c r="I105" i="7" s="1"/>
  <c r="L104" i="7"/>
  <c r="L103" i="7"/>
  <c r="O102" i="7"/>
  <c r="J102" i="7"/>
  <c r="O101" i="7"/>
  <c r="M101" i="7"/>
  <c r="K101" i="7" s="1"/>
  <c r="J101" i="7"/>
  <c r="O99" i="7"/>
  <c r="J99" i="7"/>
  <c r="O98" i="7"/>
  <c r="J98" i="7"/>
  <c r="O97" i="7"/>
  <c r="J97" i="7"/>
  <c r="J96" i="7"/>
  <c r="J95" i="7"/>
  <c r="J94" i="7"/>
  <c r="J93" i="7"/>
  <c r="J92" i="7"/>
  <c r="J91" i="7"/>
  <c r="J90" i="7"/>
  <c r="J89" i="7"/>
  <c r="J88" i="7"/>
  <c r="O87" i="7"/>
  <c r="J87" i="7"/>
  <c r="I86" i="7"/>
  <c r="H86" i="7"/>
  <c r="L85" i="7"/>
  <c r="L84" i="7"/>
  <c r="O83" i="7"/>
  <c r="J83" i="7"/>
  <c r="O82" i="7"/>
  <c r="M82" i="7"/>
  <c r="J82" i="7"/>
  <c r="O80" i="7"/>
  <c r="J80" i="7"/>
  <c r="O79" i="7"/>
  <c r="J79" i="7"/>
  <c r="O78" i="7"/>
  <c r="J78" i="7"/>
  <c r="J77" i="7"/>
  <c r="J76" i="7"/>
  <c r="J75" i="7"/>
  <c r="J74" i="7"/>
  <c r="J73" i="7"/>
  <c r="J72" i="7"/>
  <c r="J71" i="7"/>
  <c r="J70" i="7"/>
  <c r="O69" i="7"/>
  <c r="J69" i="7"/>
  <c r="I68" i="7"/>
  <c r="H68" i="7"/>
  <c r="L67" i="7"/>
  <c r="L66" i="7"/>
  <c r="J65" i="7"/>
  <c r="O64" i="7"/>
  <c r="O65" i="7" s="1"/>
  <c r="J64" i="7"/>
  <c r="J62" i="7"/>
  <c r="O61" i="7"/>
  <c r="J61" i="7"/>
  <c r="J60" i="7"/>
  <c r="J59" i="7"/>
  <c r="J58" i="7"/>
  <c r="J57" i="7"/>
  <c r="J56" i="7"/>
  <c r="J55" i="7"/>
  <c r="J54" i="7"/>
  <c r="J53" i="7"/>
  <c r="J52" i="7"/>
  <c r="O51" i="7"/>
  <c r="J51" i="7"/>
  <c r="I50" i="7"/>
  <c r="H50" i="7"/>
  <c r="P46" i="7"/>
  <c r="J46" i="7"/>
  <c r="N45" i="7"/>
  <c r="I45" i="7"/>
  <c r="H45" i="7"/>
  <c r="L44" i="7"/>
  <c r="L43" i="7"/>
  <c r="J42" i="7"/>
  <c r="O41" i="7"/>
  <c r="O42" i="7" s="1"/>
  <c r="O39" i="7" s="1"/>
  <c r="J41" i="7"/>
  <c r="J39" i="7"/>
  <c r="J38" i="7"/>
  <c r="J37" i="7"/>
  <c r="J36" i="7"/>
  <c r="C36" i="7"/>
  <c r="D36" i="7" s="1"/>
  <c r="J35" i="7"/>
  <c r="J34" i="7"/>
  <c r="J33" i="7"/>
  <c r="J32" i="7"/>
  <c r="J31" i="7"/>
  <c r="J30" i="7"/>
  <c r="J29" i="7"/>
  <c r="J28" i="7"/>
  <c r="J27" i="7"/>
  <c r="J26" i="7"/>
  <c r="I25" i="7"/>
  <c r="H25" i="7"/>
  <c r="L24" i="7"/>
  <c r="L23" i="7"/>
  <c r="J22" i="7"/>
  <c r="O21" i="7"/>
  <c r="O22" i="7" s="1"/>
  <c r="O19" i="7" s="1"/>
  <c r="J21" i="7"/>
  <c r="J19" i="7"/>
  <c r="J18" i="7"/>
  <c r="O17" i="7"/>
  <c r="J17" i="7"/>
  <c r="J16" i="7"/>
  <c r="J15" i="7"/>
  <c r="C15" i="7"/>
  <c r="L15" i="7" s="1"/>
  <c r="J14" i="7"/>
  <c r="J13" i="7"/>
  <c r="J12" i="7"/>
  <c r="J11" i="7"/>
  <c r="J10" i="7"/>
  <c r="J9" i="7"/>
  <c r="J8" i="7"/>
  <c r="J7" i="7"/>
  <c r="J6" i="7"/>
  <c r="A12" i="7" s="1"/>
  <c r="J5" i="7"/>
  <c r="J4" i="7"/>
  <c r="A4" i="7"/>
  <c r="J3" i="7"/>
  <c r="A78" i="7" s="1"/>
  <c r="H2" i="7"/>
  <c r="I2" i="7" s="1"/>
  <c r="A2" i="7"/>
  <c r="K707" i="7" l="1"/>
  <c r="G707" i="7" s="1"/>
  <c r="H707" i="7" s="1"/>
  <c r="K709" i="7"/>
  <c r="G709" i="7" s="1"/>
  <c r="H709" i="7" s="1"/>
  <c r="E727" i="7"/>
  <c r="K760" i="7"/>
  <c r="G760" i="7" s="1"/>
  <c r="H760" i="7" s="1"/>
  <c r="E729" i="7"/>
  <c r="K750" i="7"/>
  <c r="G750" i="7" s="1"/>
  <c r="K759" i="7"/>
  <c r="G759" i="7" s="1"/>
  <c r="H759" i="7" s="1"/>
  <c r="K764" i="7"/>
  <c r="G764" i="7" s="1"/>
  <c r="H764" i="7" s="1"/>
  <c r="K766" i="7"/>
  <c r="G766" i="7" s="1"/>
  <c r="H766" i="7" s="1"/>
  <c r="K787" i="7"/>
  <c r="G787" i="7" s="1"/>
  <c r="H787" i="7" s="1"/>
  <c r="K789" i="7"/>
  <c r="G789" i="7" s="1"/>
  <c r="H789" i="7" s="1"/>
  <c r="K791" i="7"/>
  <c r="G791" i="7" s="1"/>
  <c r="H791" i="7" s="1"/>
  <c r="K793" i="7"/>
  <c r="K795" i="7"/>
  <c r="G795" i="7" s="1"/>
  <c r="H795" i="7" s="1"/>
  <c r="K797" i="7"/>
  <c r="K799" i="7"/>
  <c r="G799" i="7" s="1"/>
  <c r="H799" i="7" s="1"/>
  <c r="K810" i="7"/>
  <c r="G810" i="7" s="1"/>
  <c r="H810" i="7" s="1"/>
  <c r="K812" i="7"/>
  <c r="G812" i="7" s="1"/>
  <c r="H812" i="7" s="1"/>
  <c r="K814" i="7"/>
  <c r="G814" i="7" s="1"/>
  <c r="H814" i="7" s="1"/>
  <c r="K816" i="7"/>
  <c r="G816" i="7" s="1"/>
  <c r="H816" i="7" s="1"/>
  <c r="K818" i="7"/>
  <c r="G818" i="7" s="1"/>
  <c r="H818" i="7" s="1"/>
  <c r="E838" i="7"/>
  <c r="E854" i="7"/>
  <c r="E856" i="7"/>
  <c r="E858" i="7"/>
  <c r="K705" i="7"/>
  <c r="E725" i="7"/>
  <c r="K762" i="7"/>
  <c r="G762" i="7" s="1"/>
  <c r="H762" i="7" s="1"/>
  <c r="K820" i="7"/>
  <c r="G820" i="7" s="1"/>
  <c r="H820" i="7" s="1"/>
  <c r="E835" i="7"/>
  <c r="E837" i="7"/>
  <c r="E839" i="7"/>
  <c r="E841" i="7"/>
  <c r="K844" i="7"/>
  <c r="G844" i="7" s="1"/>
  <c r="K761" i="7"/>
  <c r="G761" i="7" s="1"/>
  <c r="H761" i="7" s="1"/>
  <c r="K763" i="7"/>
  <c r="G763" i="7" s="1"/>
  <c r="H763" i="7" s="1"/>
  <c r="K765" i="7"/>
  <c r="G765" i="7" s="1"/>
  <c r="H765" i="7" s="1"/>
  <c r="E724" i="7"/>
  <c r="E726" i="7"/>
  <c r="E728" i="7"/>
  <c r="E730" i="7"/>
  <c r="K855" i="7"/>
  <c r="G855" i="7" s="1"/>
  <c r="H855" i="7" s="1"/>
  <c r="K841" i="7"/>
  <c r="G841" i="7" s="1"/>
  <c r="H841" i="7" s="1"/>
  <c r="K888" i="7"/>
  <c r="G888" i="7" s="1"/>
  <c r="H888" i="7" s="1"/>
  <c r="E834" i="7"/>
  <c r="K843" i="7"/>
  <c r="G843" i="7" s="1"/>
  <c r="K852" i="7"/>
  <c r="G852" i="7" s="1"/>
  <c r="H852" i="7" s="1"/>
  <c r="K853" i="7"/>
  <c r="G853" i="7" s="1"/>
  <c r="H853" i="7" s="1"/>
  <c r="K856" i="7"/>
  <c r="G856" i="7" s="1"/>
  <c r="H856" i="7" s="1"/>
  <c r="K857" i="7"/>
  <c r="G857" i="7" s="1"/>
  <c r="H857" i="7" s="1"/>
  <c r="K859" i="7"/>
  <c r="G859" i="7" s="1"/>
  <c r="H859" i="7" s="1"/>
  <c r="K860" i="7"/>
  <c r="G860" i="7" s="1"/>
  <c r="H860" i="7" s="1"/>
  <c r="E872" i="7"/>
  <c r="E816" i="7"/>
  <c r="E871" i="7"/>
  <c r="E874" i="7"/>
  <c r="K889" i="7"/>
  <c r="G889" i="7" s="1"/>
  <c r="H889" i="7" s="1"/>
  <c r="E870" i="7"/>
  <c r="K879" i="7"/>
  <c r="G879" i="7" s="1"/>
  <c r="K650" i="7"/>
  <c r="G650" i="7" s="1"/>
  <c r="H650" i="7" s="1"/>
  <c r="E744" i="7"/>
  <c r="K710" i="7"/>
  <c r="G710" i="7" s="1"/>
  <c r="E741" i="7"/>
  <c r="E742" i="7"/>
  <c r="E748" i="7"/>
  <c r="E813" i="7"/>
  <c r="E817" i="7"/>
  <c r="K840" i="7"/>
  <c r="G840" i="7" s="1"/>
  <c r="H840" i="7" s="1"/>
  <c r="K863" i="7"/>
  <c r="G863" i="7" s="1"/>
  <c r="E790" i="7"/>
  <c r="K749" i="7"/>
  <c r="G749" i="7" s="1"/>
  <c r="H749" i="7" s="1"/>
  <c r="K777" i="7"/>
  <c r="G777" i="7" s="1"/>
  <c r="H777" i="7" s="1"/>
  <c r="E786" i="7"/>
  <c r="K802" i="7"/>
  <c r="G802" i="7" s="1"/>
  <c r="E812" i="7"/>
  <c r="E815" i="7"/>
  <c r="K822" i="7"/>
  <c r="G822" i="7" s="1"/>
  <c r="K835" i="7"/>
  <c r="G835" i="7" s="1"/>
  <c r="H835" i="7" s="1"/>
  <c r="K854" i="7"/>
  <c r="G854" i="7" s="1"/>
  <c r="H854" i="7" s="1"/>
  <c r="K858" i="7"/>
  <c r="K725" i="7"/>
  <c r="G725" i="7" s="1"/>
  <c r="H725" i="7" s="1"/>
  <c r="E787" i="7"/>
  <c r="K801" i="7"/>
  <c r="G801" i="7" s="1"/>
  <c r="E760" i="7"/>
  <c r="E788" i="7"/>
  <c r="E791" i="7"/>
  <c r="E795" i="7"/>
  <c r="E796" i="7"/>
  <c r="E705" i="7"/>
  <c r="E809" i="7"/>
  <c r="K837" i="7"/>
  <c r="G837" i="7" s="1"/>
  <c r="H837" i="7" s="1"/>
  <c r="E873" i="7"/>
  <c r="K769" i="7"/>
  <c r="G769" i="7" s="1"/>
  <c r="E811" i="7"/>
  <c r="E818" i="7"/>
  <c r="K836" i="7"/>
  <c r="G836" i="7" s="1"/>
  <c r="H836" i="7" s="1"/>
  <c r="K839" i="7"/>
  <c r="G839" i="7" s="1"/>
  <c r="H839" i="7" s="1"/>
  <c r="E794" i="7"/>
  <c r="K734" i="7"/>
  <c r="G734" i="7" s="1"/>
  <c r="E743" i="7"/>
  <c r="E745" i="7"/>
  <c r="K641" i="7"/>
  <c r="G641" i="7" s="1"/>
  <c r="E759" i="7"/>
  <c r="E763" i="7"/>
  <c r="E792" i="7"/>
  <c r="K500" i="7"/>
  <c r="G500" i="7" s="1"/>
  <c r="H500" i="7" s="1"/>
  <c r="K521" i="7"/>
  <c r="G521" i="7" s="1"/>
  <c r="H521" i="7" s="1"/>
  <c r="E571" i="7"/>
  <c r="E591" i="7"/>
  <c r="E596" i="7"/>
  <c r="E612" i="7"/>
  <c r="K614" i="7"/>
  <c r="G614" i="7" s="1"/>
  <c r="H614" i="7" s="1"/>
  <c r="K615" i="7"/>
  <c r="G615" i="7" s="1"/>
  <c r="H615" i="7" s="1"/>
  <c r="K620" i="7"/>
  <c r="G620" i="7" s="1"/>
  <c r="H620" i="7" s="1"/>
  <c r="K621" i="7"/>
  <c r="G621" i="7" s="1"/>
  <c r="K634" i="7"/>
  <c r="G634" i="7" s="1"/>
  <c r="H634" i="7" s="1"/>
  <c r="E652" i="7"/>
  <c r="K658" i="7"/>
  <c r="G658" i="7" s="1"/>
  <c r="K666" i="7"/>
  <c r="G666" i="7" s="1"/>
  <c r="H666" i="7" s="1"/>
  <c r="E676" i="7"/>
  <c r="E678" i="7"/>
  <c r="E681" i="7"/>
  <c r="E684" i="7"/>
  <c r="E685" i="7"/>
  <c r="E701" i="7"/>
  <c r="E703" i="7"/>
  <c r="E706" i="7"/>
  <c r="E723" i="7"/>
  <c r="K726" i="7"/>
  <c r="G726" i="7" s="1"/>
  <c r="H726" i="7" s="1"/>
  <c r="K727" i="7"/>
  <c r="G727" i="7" s="1"/>
  <c r="H727" i="7" s="1"/>
  <c r="K729" i="7"/>
  <c r="G729" i="7" s="1"/>
  <c r="H729" i="7" s="1"/>
  <c r="K730" i="7"/>
  <c r="G730" i="7" s="1"/>
  <c r="H730" i="7" s="1"/>
  <c r="K731" i="7"/>
  <c r="G731" i="7" s="1"/>
  <c r="H731" i="7" s="1"/>
  <c r="K732" i="7"/>
  <c r="G732" i="7" s="1"/>
  <c r="K743" i="7"/>
  <c r="G743" i="7" s="1"/>
  <c r="H743" i="7" s="1"/>
  <c r="K744" i="7"/>
  <c r="G744" i="7" s="1"/>
  <c r="H744" i="7" s="1"/>
  <c r="K745" i="7"/>
  <c r="G745" i="7" s="1"/>
  <c r="H745" i="7" s="1"/>
  <c r="K747" i="7"/>
  <c r="G747" i="7" s="1"/>
  <c r="H747" i="7" s="1"/>
  <c r="K748" i="7"/>
  <c r="G748" i="7" s="1"/>
  <c r="H748" i="7" s="1"/>
  <c r="K752" i="7"/>
  <c r="G752" i="7" s="1"/>
  <c r="E761" i="7"/>
  <c r="E762" i="7"/>
  <c r="E764" i="7"/>
  <c r="K768" i="7"/>
  <c r="G768" i="7" s="1"/>
  <c r="K778" i="7"/>
  <c r="G778" i="7" s="1"/>
  <c r="H778" i="7" s="1"/>
  <c r="E789" i="7"/>
  <c r="E793" i="7"/>
  <c r="E797" i="7"/>
  <c r="K505" i="7"/>
  <c r="G505" i="7" s="1"/>
  <c r="H505" i="7" s="1"/>
  <c r="E589" i="7"/>
  <c r="K617" i="7"/>
  <c r="G617" i="7" s="1"/>
  <c r="H617" i="7" s="1"/>
  <c r="E682" i="7"/>
  <c r="E698" i="7"/>
  <c r="B382" i="7"/>
  <c r="C440" i="7" s="1"/>
  <c r="K390" i="7"/>
  <c r="G390" i="7" s="1"/>
  <c r="H390" i="7" s="1"/>
  <c r="G858" i="7"/>
  <c r="H858" i="7" s="1"/>
  <c r="G862" i="7"/>
  <c r="G871" i="7"/>
  <c r="H871" i="7" s="1"/>
  <c r="G875" i="7"/>
  <c r="H875" i="7" s="1"/>
  <c r="H892" i="7"/>
  <c r="K3" i="7"/>
  <c r="G3" i="7" s="1"/>
  <c r="H3" i="7" s="1"/>
  <c r="K4" i="7"/>
  <c r="G4" i="7" s="1"/>
  <c r="H4" i="7" s="1"/>
  <c r="K6" i="7"/>
  <c r="G6" i="7" s="1"/>
  <c r="H6" i="7" s="1"/>
  <c r="K7" i="7"/>
  <c r="G7" i="7" s="1"/>
  <c r="H7" i="7" s="1"/>
  <c r="K8" i="7"/>
  <c r="G8" i="7" s="1"/>
  <c r="H8" i="7" s="1"/>
  <c r="K10" i="7"/>
  <c r="G10" i="7" s="1"/>
  <c r="H10" i="7" s="1"/>
  <c r="K11" i="7"/>
  <c r="G11" i="7" s="1"/>
  <c r="H11" i="7" s="1"/>
  <c r="K12" i="7"/>
  <c r="G12" i="7" s="1"/>
  <c r="H12" i="7" s="1"/>
  <c r="K13" i="7"/>
  <c r="G13" i="7" s="1"/>
  <c r="H13" i="7" s="1"/>
  <c r="K14" i="7"/>
  <c r="G14" i="7" s="1"/>
  <c r="H14" i="7" s="1"/>
  <c r="K119" i="7"/>
  <c r="G119" i="7" s="1"/>
  <c r="H119" i="7" s="1"/>
  <c r="K124" i="7"/>
  <c r="G124" i="7" s="1"/>
  <c r="H124" i="7" s="1"/>
  <c r="K126" i="7"/>
  <c r="G126" i="7" s="1"/>
  <c r="H126" i="7" s="1"/>
  <c r="K679" i="7"/>
  <c r="K681" i="7"/>
  <c r="G681" i="7" s="1"/>
  <c r="H681" i="7" s="1"/>
  <c r="K683" i="7"/>
  <c r="G683" i="7" s="1"/>
  <c r="H683" i="7" s="1"/>
  <c r="K684" i="7"/>
  <c r="G684" i="7" s="1"/>
  <c r="H684" i="7" s="1"/>
  <c r="K686" i="7"/>
  <c r="G686" i="7" s="1"/>
  <c r="H686" i="7" s="1"/>
  <c r="K699" i="7"/>
  <c r="G699" i="7" s="1"/>
  <c r="H699" i="7" s="1"/>
  <c r="K704" i="7"/>
  <c r="G704" i="7" s="1"/>
  <c r="H704" i="7" s="1"/>
  <c r="E315" i="7"/>
  <c r="K142" i="7"/>
  <c r="G142" i="7" s="1"/>
  <c r="H142" i="7" s="1"/>
  <c r="K144" i="7"/>
  <c r="G144" i="7" s="1"/>
  <c r="H144" i="7" s="1"/>
  <c r="E166" i="7"/>
  <c r="E170" i="7"/>
  <c r="K201" i="7"/>
  <c r="G201" i="7" s="1"/>
  <c r="H201" i="7" s="1"/>
  <c r="K204" i="7"/>
  <c r="G204" i="7" s="1"/>
  <c r="H204" i="7" s="1"/>
  <c r="K205" i="7"/>
  <c r="G205" i="7" s="1"/>
  <c r="H205" i="7" s="1"/>
  <c r="K230" i="7"/>
  <c r="G230" i="7" s="1"/>
  <c r="H230" i="7" s="1"/>
  <c r="K233" i="7"/>
  <c r="G233" i="7" s="1"/>
  <c r="H233" i="7" s="1"/>
  <c r="K235" i="7"/>
  <c r="G235" i="7" s="1"/>
  <c r="H235" i="7" s="1"/>
  <c r="K237" i="7"/>
  <c r="G237" i="7" s="1"/>
  <c r="H237" i="7" s="1"/>
  <c r="K253" i="7"/>
  <c r="G253" i="7" s="1"/>
  <c r="H253" i="7" s="1"/>
  <c r="K255" i="7"/>
  <c r="G255" i="7" s="1"/>
  <c r="H255" i="7" s="1"/>
  <c r="K257" i="7"/>
  <c r="G257" i="7" s="1"/>
  <c r="H257" i="7" s="1"/>
  <c r="E280" i="7"/>
  <c r="E282" i="7"/>
  <c r="E284" i="7"/>
  <c r="K316" i="7"/>
  <c r="G316" i="7" s="1"/>
  <c r="H316" i="7" s="1"/>
  <c r="K318" i="7"/>
  <c r="G318" i="7" s="1"/>
  <c r="H318" i="7" s="1"/>
  <c r="K320" i="7"/>
  <c r="G320" i="7" s="1"/>
  <c r="H320" i="7" s="1"/>
  <c r="K340" i="7"/>
  <c r="G340" i="7" s="1"/>
  <c r="H340" i="7" s="1"/>
  <c r="K343" i="7"/>
  <c r="G343" i="7" s="1"/>
  <c r="H343" i="7" s="1"/>
  <c r="K344" i="7"/>
  <c r="G344" i="7" s="1"/>
  <c r="H344" i="7" s="1"/>
  <c r="K345" i="7"/>
  <c r="G345" i="7" s="1"/>
  <c r="H345" i="7" s="1"/>
  <c r="K347" i="7"/>
  <c r="G347" i="7" s="1"/>
  <c r="H347" i="7" s="1"/>
  <c r="K348" i="7"/>
  <c r="G348" i="7" s="1"/>
  <c r="H348" i="7" s="1"/>
  <c r="K366" i="7"/>
  <c r="G366" i="7" s="1"/>
  <c r="H366" i="7" s="1"/>
  <c r="K372" i="7"/>
  <c r="G372" i="7" s="1"/>
  <c r="H372" i="7" s="1"/>
  <c r="K374" i="7"/>
  <c r="G374" i="7" s="1"/>
  <c r="H374" i="7" s="1"/>
  <c r="K398" i="7"/>
  <c r="G398" i="7" s="1"/>
  <c r="K415" i="7"/>
  <c r="G415" i="7" s="1"/>
  <c r="K428" i="7"/>
  <c r="G428" i="7" s="1"/>
  <c r="H428" i="7" s="1"/>
  <c r="K431" i="7"/>
  <c r="G431" i="7" s="1"/>
  <c r="H431" i="7" s="1"/>
  <c r="K451" i="7"/>
  <c r="G451" i="7" s="1"/>
  <c r="H451" i="7" s="1"/>
  <c r="K460" i="7"/>
  <c r="G460" i="7" s="1"/>
  <c r="H460" i="7" s="1"/>
  <c r="K477" i="7"/>
  <c r="G477" i="7" s="1"/>
  <c r="H477" i="7" s="1"/>
  <c r="K243" i="7"/>
  <c r="G243" i="7" s="1"/>
  <c r="H243" i="7" s="1"/>
  <c r="K321" i="7"/>
  <c r="G321" i="7" s="1"/>
  <c r="E520" i="7"/>
  <c r="E634" i="7"/>
  <c r="K640" i="7"/>
  <c r="G640" i="7" s="1"/>
  <c r="K297" i="7"/>
  <c r="G297" i="7" s="1"/>
  <c r="H297" i="7" s="1"/>
  <c r="K459" i="7"/>
  <c r="G459" i="7" s="1"/>
  <c r="H459" i="7" s="1"/>
  <c r="K523" i="7"/>
  <c r="G523" i="7" s="1"/>
  <c r="H523" i="7" s="1"/>
  <c r="K631" i="7"/>
  <c r="G631" i="7" s="1"/>
  <c r="H631" i="7" s="1"/>
  <c r="K633" i="7"/>
  <c r="G633" i="7" s="1"/>
  <c r="H633" i="7" s="1"/>
  <c r="K636" i="7"/>
  <c r="G636" i="7" s="1"/>
  <c r="H636" i="7" s="1"/>
  <c r="K638" i="7"/>
  <c r="G638" i="7" s="1"/>
  <c r="H638" i="7" s="1"/>
  <c r="E240" i="7"/>
  <c r="E257" i="7"/>
  <c r="E349" i="7"/>
  <c r="K536" i="7"/>
  <c r="G536" i="7" s="1"/>
  <c r="H536" i="7" s="1"/>
  <c r="K299" i="7"/>
  <c r="G299" i="7" s="1"/>
  <c r="H299" i="7" s="1"/>
  <c r="K410" i="7"/>
  <c r="G410" i="7" s="1"/>
  <c r="H410" i="7" s="1"/>
  <c r="H470" i="7"/>
  <c r="E502" i="7"/>
  <c r="K568" i="7"/>
  <c r="G568" i="7" s="1"/>
  <c r="H568" i="7" s="1"/>
  <c r="K577" i="7"/>
  <c r="G577" i="7" s="1"/>
  <c r="H577" i="7" s="1"/>
  <c r="K592" i="7"/>
  <c r="G592" i="7" s="1"/>
  <c r="H592" i="7" s="1"/>
  <c r="K622" i="7"/>
  <c r="G622" i="7" s="1"/>
  <c r="H248" i="7"/>
  <c r="K186" i="7"/>
  <c r="G186" i="7" s="1"/>
  <c r="H186" i="7" s="1"/>
  <c r="K296" i="7"/>
  <c r="G296" i="7" s="1"/>
  <c r="H296" i="7" s="1"/>
  <c r="E388" i="7"/>
  <c r="E389" i="7"/>
  <c r="K408" i="7"/>
  <c r="G408" i="7" s="1"/>
  <c r="H408" i="7" s="1"/>
  <c r="K412" i="7"/>
  <c r="G412" i="7" s="1"/>
  <c r="H412" i="7" s="1"/>
  <c r="K522" i="7"/>
  <c r="G522" i="7" s="1"/>
  <c r="H522" i="7" s="1"/>
  <c r="K630" i="7"/>
  <c r="G630" i="7" s="1"/>
  <c r="H630" i="7" s="1"/>
  <c r="K632" i="7"/>
  <c r="G632" i="7" s="1"/>
  <c r="H632" i="7" s="1"/>
  <c r="K635" i="7"/>
  <c r="G635" i="7" s="1"/>
  <c r="H635" i="7" s="1"/>
  <c r="K457" i="7"/>
  <c r="G457" i="7" s="1"/>
  <c r="H457" i="7" s="1"/>
  <c r="H359" i="7"/>
  <c r="E147" i="7"/>
  <c r="K167" i="7"/>
  <c r="G167" i="7" s="1"/>
  <c r="H167" i="7" s="1"/>
  <c r="K172" i="7"/>
  <c r="G172" i="7" s="1"/>
  <c r="H172" i="7" s="1"/>
  <c r="E200" i="7"/>
  <c r="E201" i="7"/>
  <c r="E229" i="7"/>
  <c r="E252" i="7"/>
  <c r="E253" i="7"/>
  <c r="E259" i="7"/>
  <c r="K278" i="7"/>
  <c r="G278" i="7" s="1"/>
  <c r="H278" i="7" s="1"/>
  <c r="K283" i="7"/>
  <c r="G283" i="7" s="1"/>
  <c r="H283" i="7" s="1"/>
  <c r="E313" i="7"/>
  <c r="E314" i="7"/>
  <c r="E341" i="7"/>
  <c r="E347" i="7"/>
  <c r="E363" i="7"/>
  <c r="E366" i="7"/>
  <c r="E368" i="7"/>
  <c r="E370" i="7"/>
  <c r="K395" i="7"/>
  <c r="G395" i="7" s="1"/>
  <c r="H395" i="7" s="1"/>
  <c r="E425" i="7"/>
  <c r="E427" i="7"/>
  <c r="E451" i="7"/>
  <c r="E453" i="7"/>
  <c r="E474" i="7"/>
  <c r="E479" i="7"/>
  <c r="E481" i="7"/>
  <c r="E482" i="7"/>
  <c r="E537" i="7"/>
  <c r="K689" i="7"/>
  <c r="G689" i="7" s="1"/>
  <c r="H689" i="7" s="1"/>
  <c r="E565" i="7"/>
  <c r="E569" i="7"/>
  <c r="E572" i="7"/>
  <c r="E587" i="7"/>
  <c r="K613" i="7"/>
  <c r="G613" i="7" s="1"/>
  <c r="H613" i="7" s="1"/>
  <c r="K616" i="7"/>
  <c r="G616" i="7" s="1"/>
  <c r="H616" i="7" s="1"/>
  <c r="K618" i="7"/>
  <c r="G618" i="7" s="1"/>
  <c r="H618" i="7" s="1"/>
  <c r="K619" i="7"/>
  <c r="G619" i="7" s="1"/>
  <c r="H619" i="7" s="1"/>
  <c r="E648" i="7"/>
  <c r="E650" i="7"/>
  <c r="E651" i="7"/>
  <c r="K657" i="7"/>
  <c r="G657" i="7" s="1"/>
  <c r="E675" i="7"/>
  <c r="E677" i="7"/>
  <c r="E679" i="7"/>
  <c r="E680" i="7"/>
  <c r="E683" i="7"/>
  <c r="E686" i="7"/>
  <c r="K691" i="7"/>
  <c r="G691" i="7" s="1"/>
  <c r="E699" i="7"/>
  <c r="E700" i="7"/>
  <c r="E702" i="7"/>
  <c r="E704" i="7"/>
  <c r="E707" i="7"/>
  <c r="K711" i="7"/>
  <c r="G711" i="7" s="1"/>
  <c r="K724" i="7"/>
  <c r="G724" i="7" s="1"/>
  <c r="H724" i="7" s="1"/>
  <c r="K728" i="7"/>
  <c r="G728" i="7" s="1"/>
  <c r="H728" i="7" s="1"/>
  <c r="K351" i="7"/>
  <c r="G351" i="7" s="1"/>
  <c r="H351" i="7" s="1"/>
  <c r="K364" i="7"/>
  <c r="G364" i="7" s="1"/>
  <c r="H364" i="7" s="1"/>
  <c r="K371" i="7"/>
  <c r="G371" i="7" s="1"/>
  <c r="H371" i="7" s="1"/>
  <c r="E392" i="7"/>
  <c r="K452" i="7"/>
  <c r="G452" i="7" s="1"/>
  <c r="H452" i="7" s="1"/>
  <c r="K456" i="7"/>
  <c r="G456" i="7" s="1"/>
  <c r="H456" i="7" s="1"/>
  <c r="K464" i="7"/>
  <c r="G464" i="7" s="1"/>
  <c r="H464" i="7" s="1"/>
  <c r="K476" i="7"/>
  <c r="G476" i="7" s="1"/>
  <c r="H476" i="7" s="1"/>
  <c r="K482" i="7"/>
  <c r="G482" i="7" s="1"/>
  <c r="H482" i="7" s="1"/>
  <c r="E503" i="7"/>
  <c r="K509" i="7"/>
  <c r="G509" i="7" s="1"/>
  <c r="K526" i="7"/>
  <c r="G526" i="7" s="1"/>
  <c r="K535" i="7"/>
  <c r="G535" i="7" s="1"/>
  <c r="H535" i="7" s="1"/>
  <c r="K544" i="7"/>
  <c r="G544" i="7" s="1"/>
  <c r="H544" i="7" s="1"/>
  <c r="K567" i="7"/>
  <c r="G567" i="7" s="1"/>
  <c r="H567" i="7" s="1"/>
  <c r="K587" i="7"/>
  <c r="G587" i="7" s="1"/>
  <c r="H587" i="7" s="1"/>
  <c r="K591" i="7"/>
  <c r="G591" i="7" s="1"/>
  <c r="H591" i="7" s="1"/>
  <c r="K594" i="7"/>
  <c r="G594" i="7" s="1"/>
  <c r="H594" i="7" s="1"/>
  <c r="K596" i="7"/>
  <c r="G596" i="7" s="1"/>
  <c r="H596" i="7" s="1"/>
  <c r="E613" i="7"/>
  <c r="E615" i="7"/>
  <c r="E616" i="7"/>
  <c r="E619" i="7"/>
  <c r="K637" i="7"/>
  <c r="G637" i="7" s="1"/>
  <c r="H637" i="7" s="1"/>
  <c r="K651" i="7"/>
  <c r="G651" i="7" s="1"/>
  <c r="H651" i="7" s="1"/>
  <c r="K667" i="7"/>
  <c r="G667" i="7" s="1"/>
  <c r="H667" i="7" s="1"/>
  <c r="K680" i="7"/>
  <c r="G680" i="7" s="1"/>
  <c r="H680" i="7" s="1"/>
  <c r="E56" i="7"/>
  <c r="K261" i="7"/>
  <c r="G261" i="7" s="1"/>
  <c r="H261" i="7" s="1"/>
  <c r="K263" i="7"/>
  <c r="G263" i="7" s="1"/>
  <c r="H263" i="7" s="1"/>
  <c r="K530" i="7"/>
  <c r="H530" i="7" s="1"/>
  <c r="K78" i="7"/>
  <c r="G78" i="7" s="1"/>
  <c r="K200" i="7"/>
  <c r="G200" i="7" s="1"/>
  <c r="H200" i="7" s="1"/>
  <c r="H583" i="7"/>
  <c r="H694" i="7"/>
  <c r="E185" i="7"/>
  <c r="E187" i="7"/>
  <c r="E298" i="7"/>
  <c r="E406" i="7"/>
  <c r="K416" i="7"/>
  <c r="G416" i="7" s="1"/>
  <c r="K466" i="7"/>
  <c r="G466" i="7" s="1"/>
  <c r="K510" i="7"/>
  <c r="G510" i="7" s="1"/>
  <c r="E519" i="7"/>
  <c r="E521" i="7"/>
  <c r="E633" i="7"/>
  <c r="K656" i="7"/>
  <c r="G656" i="7" s="1"/>
  <c r="K690" i="7"/>
  <c r="G690" i="7" s="1"/>
  <c r="K232" i="7"/>
  <c r="G232" i="7" s="1"/>
  <c r="H232" i="7" s="1"/>
  <c r="K304" i="7"/>
  <c r="G304" i="7" s="1"/>
  <c r="K97" i="7"/>
  <c r="G97" i="7" s="1"/>
  <c r="E301" i="7"/>
  <c r="K305" i="7"/>
  <c r="G305" i="7" s="1"/>
  <c r="K580" i="7"/>
  <c r="G580" i="7" s="1"/>
  <c r="E588" i="7"/>
  <c r="E590" i="7"/>
  <c r="E592" i="7"/>
  <c r="E593" i="7"/>
  <c r="E594" i="7"/>
  <c r="E595" i="7"/>
  <c r="K579" i="7"/>
  <c r="G579" i="7" s="1"/>
  <c r="K623" i="7"/>
  <c r="G623" i="7" s="1"/>
  <c r="E630" i="7"/>
  <c r="E631" i="7"/>
  <c r="E632" i="7"/>
  <c r="E637" i="7"/>
  <c r="K79" i="7"/>
  <c r="G79" i="7" s="1"/>
  <c r="E188" i="7"/>
  <c r="E31" i="7"/>
  <c r="K39" i="7"/>
  <c r="G39" i="7" s="1"/>
  <c r="K52" i="7"/>
  <c r="G52" i="7" s="1"/>
  <c r="H52" i="7" s="1"/>
  <c r="K54" i="7"/>
  <c r="G54" i="7" s="1"/>
  <c r="H54" i="7" s="1"/>
  <c r="K55" i="7"/>
  <c r="G55" i="7" s="1"/>
  <c r="H55" i="7" s="1"/>
  <c r="K58" i="7"/>
  <c r="G58" i="7" s="1"/>
  <c r="H58" i="7" s="1"/>
  <c r="K80" i="7"/>
  <c r="G80" i="7" s="1"/>
  <c r="E87" i="7"/>
  <c r="E88" i="7"/>
  <c r="E89" i="7"/>
  <c r="E90" i="7"/>
  <c r="E92" i="7"/>
  <c r="E93" i="7"/>
  <c r="K98" i="7"/>
  <c r="G98" i="7" s="1"/>
  <c r="E117" i="7"/>
  <c r="E118" i="7"/>
  <c r="E121" i="7"/>
  <c r="E122" i="7"/>
  <c r="E125" i="7"/>
  <c r="E127" i="7"/>
  <c r="E139" i="7"/>
  <c r="E141" i="7"/>
  <c r="E146" i="7"/>
  <c r="K171" i="7"/>
  <c r="G171" i="7" s="1"/>
  <c r="H171" i="7" s="1"/>
  <c r="E203" i="7"/>
  <c r="E204" i="7"/>
  <c r="E206" i="7"/>
  <c r="E234" i="7"/>
  <c r="E237" i="7"/>
  <c r="E254" i="7"/>
  <c r="K284" i="7"/>
  <c r="G284" i="7" s="1"/>
  <c r="H284" i="7" s="1"/>
  <c r="K322" i="7"/>
  <c r="G322" i="7" s="1"/>
  <c r="E342" i="7"/>
  <c r="E350" i="7"/>
  <c r="K393" i="7"/>
  <c r="G393" i="7" s="1"/>
  <c r="H393" i="7" s="1"/>
  <c r="K467" i="7"/>
  <c r="G467" i="7" s="1"/>
  <c r="E538" i="7"/>
  <c r="E541" i="7"/>
  <c r="E575" i="7"/>
  <c r="E299" i="7"/>
  <c r="K355" i="7"/>
  <c r="G355" i="7" s="1"/>
  <c r="K375" i="7"/>
  <c r="G375" i="7" s="1"/>
  <c r="E408" i="7"/>
  <c r="E412" i="7"/>
  <c r="E517" i="7"/>
  <c r="E518" i="7"/>
  <c r="E522" i="7"/>
  <c r="E523" i="7"/>
  <c r="E524" i="7"/>
  <c r="K527" i="7"/>
  <c r="G527" i="7" s="1"/>
  <c r="K545" i="7"/>
  <c r="G545" i="7" s="1"/>
  <c r="E182" i="7"/>
  <c r="E183" i="7"/>
  <c r="K264" i="7"/>
  <c r="G264" i="7" s="1"/>
  <c r="E302" i="7"/>
  <c r="K28" i="7"/>
  <c r="G28" i="7" s="1"/>
  <c r="H28" i="7" s="1"/>
  <c r="K37" i="7"/>
  <c r="G37" i="7" s="1"/>
  <c r="H37" i="7" s="1"/>
  <c r="K70" i="7"/>
  <c r="G70" i="7" s="1"/>
  <c r="H70" i="7" s="1"/>
  <c r="K87" i="7"/>
  <c r="G87" i="7" s="1"/>
  <c r="H87" i="7" s="1"/>
  <c r="K92" i="7"/>
  <c r="G92" i="7" s="1"/>
  <c r="H92" i="7" s="1"/>
  <c r="K94" i="7"/>
  <c r="G94" i="7" s="1"/>
  <c r="H94" i="7" s="1"/>
  <c r="K117" i="7"/>
  <c r="G117" i="7" s="1"/>
  <c r="H117" i="7" s="1"/>
  <c r="K123" i="7"/>
  <c r="G123" i="7" s="1"/>
  <c r="H123" i="7" s="1"/>
  <c r="K125" i="7"/>
  <c r="G125" i="7" s="1"/>
  <c r="H125" i="7" s="1"/>
  <c r="K130" i="7"/>
  <c r="G130" i="7" s="1"/>
  <c r="H130" i="7" s="1"/>
  <c r="K143" i="7"/>
  <c r="G143" i="7" s="1"/>
  <c r="H143" i="7" s="1"/>
  <c r="K145" i="7"/>
  <c r="G145" i="7" s="1"/>
  <c r="H145" i="7" s="1"/>
  <c r="E165" i="7"/>
  <c r="E167" i="7"/>
  <c r="K209" i="7"/>
  <c r="G209" i="7" s="1"/>
  <c r="H209" i="7" s="1"/>
  <c r="K238" i="7"/>
  <c r="G238" i="7" s="1"/>
  <c r="H238" i="7" s="1"/>
  <c r="K252" i="7"/>
  <c r="G252" i="7" s="1"/>
  <c r="H252" i="7" s="1"/>
  <c r="K260" i="7"/>
  <c r="G260" i="7" s="1"/>
  <c r="H260" i="7" s="1"/>
  <c r="E279" i="7"/>
  <c r="E281" i="7"/>
  <c r="K317" i="7"/>
  <c r="G317" i="7" s="1"/>
  <c r="H317" i="7" s="1"/>
  <c r="K107" i="7"/>
  <c r="G107" i="7" s="1"/>
  <c r="H107" i="7" s="1"/>
  <c r="K189" i="7"/>
  <c r="G189" i="7" s="1"/>
  <c r="H189" i="7" s="1"/>
  <c r="K286" i="7"/>
  <c r="G286" i="7" s="1"/>
  <c r="K406" i="7"/>
  <c r="G406" i="7" s="1"/>
  <c r="H406" i="7" s="1"/>
  <c r="K407" i="7"/>
  <c r="G407" i="7" s="1"/>
  <c r="H407" i="7" s="1"/>
  <c r="K409" i="7"/>
  <c r="G409" i="7" s="1"/>
  <c r="H409" i="7" s="1"/>
  <c r="K411" i="7"/>
  <c r="G411" i="7" s="1"/>
  <c r="H411" i="7" s="1"/>
  <c r="K413" i="7"/>
  <c r="G413" i="7" s="1"/>
  <c r="H413" i="7" s="1"/>
  <c r="K414" i="7"/>
  <c r="G414" i="7" s="1"/>
  <c r="H414" i="7" s="1"/>
  <c r="K434" i="7"/>
  <c r="G434" i="7" s="1"/>
  <c r="K442" i="7"/>
  <c r="G442" i="7" s="1"/>
  <c r="H442" i="7" s="1"/>
  <c r="K443" i="7"/>
  <c r="G443" i="7" s="1"/>
  <c r="H443" i="7" s="1"/>
  <c r="E499" i="7"/>
  <c r="K508" i="7"/>
  <c r="G508" i="7" s="1"/>
  <c r="K517" i="7"/>
  <c r="G517" i="7" s="1"/>
  <c r="H517" i="7" s="1"/>
  <c r="K518" i="7"/>
  <c r="G518" i="7" s="1"/>
  <c r="H518" i="7" s="1"/>
  <c r="K519" i="7"/>
  <c r="G519" i="7" s="1"/>
  <c r="H519" i="7" s="1"/>
  <c r="K520" i="7"/>
  <c r="G520" i="7" s="1"/>
  <c r="H520" i="7" s="1"/>
  <c r="K524" i="7"/>
  <c r="G524" i="7" s="1"/>
  <c r="H524" i="7" s="1"/>
  <c r="K525" i="7"/>
  <c r="G525" i="7" s="1"/>
  <c r="H525" i="7" s="1"/>
  <c r="K547" i="7"/>
  <c r="G547" i="7" s="1"/>
  <c r="K555" i="7"/>
  <c r="G555" i="7" s="1"/>
  <c r="H555" i="7" s="1"/>
  <c r="H135" i="7"/>
  <c r="G679" i="7"/>
  <c r="H679" i="7" s="1"/>
  <c r="M15" i="7"/>
  <c r="K15" i="7" s="1"/>
  <c r="G15" i="7" s="1"/>
  <c r="K177" i="7"/>
  <c r="H177" i="7" s="1"/>
  <c r="G815" i="7"/>
  <c r="H815" i="7" s="1"/>
  <c r="K5" i="7"/>
  <c r="G5" i="7" s="1"/>
  <c r="H5" i="7" s="1"/>
  <c r="K9" i="7"/>
  <c r="G9" i="7" s="1"/>
  <c r="H9" i="7" s="1"/>
  <c r="K16" i="7"/>
  <c r="G16" i="7" s="1"/>
  <c r="H16" i="7" s="1"/>
  <c r="K17" i="7"/>
  <c r="G17" i="7" s="1"/>
  <c r="H17" i="7" s="1"/>
  <c r="K26" i="7"/>
  <c r="G26" i="7" s="1"/>
  <c r="H26" i="7" s="1"/>
  <c r="K27" i="7"/>
  <c r="G27" i="7" s="1"/>
  <c r="H27" i="7" s="1"/>
  <c r="K29" i="7"/>
  <c r="G29" i="7" s="1"/>
  <c r="H29" i="7" s="1"/>
  <c r="K30" i="7"/>
  <c r="G30" i="7" s="1"/>
  <c r="H30" i="7" s="1"/>
  <c r="K31" i="7"/>
  <c r="G31" i="7" s="1"/>
  <c r="H31" i="7" s="1"/>
  <c r="K32" i="7"/>
  <c r="G32" i="7" s="1"/>
  <c r="H32" i="7" s="1"/>
  <c r="K34" i="7"/>
  <c r="G34" i="7" s="1"/>
  <c r="H34" i="7" s="1"/>
  <c r="K35" i="7"/>
  <c r="G35" i="7" s="1"/>
  <c r="H35" i="7" s="1"/>
  <c r="K129" i="7"/>
  <c r="G129" i="7" s="1"/>
  <c r="H129" i="7" s="1"/>
  <c r="K139" i="7"/>
  <c r="G139" i="7" s="1"/>
  <c r="H139" i="7" s="1"/>
  <c r="K141" i="7"/>
  <c r="G141" i="7" s="1"/>
  <c r="H141" i="7" s="1"/>
  <c r="K146" i="7"/>
  <c r="G146" i="7" s="1"/>
  <c r="H146" i="7" s="1"/>
  <c r="K147" i="7"/>
  <c r="G147" i="7" s="1"/>
  <c r="H147" i="7" s="1"/>
  <c r="E169" i="7"/>
  <c r="E171" i="7"/>
  <c r="K174" i="7"/>
  <c r="G174" i="7" s="1"/>
  <c r="K191" i="7"/>
  <c r="G191" i="7" s="1"/>
  <c r="K202" i="7"/>
  <c r="G202" i="7" s="1"/>
  <c r="H202" i="7" s="1"/>
  <c r="K203" i="7"/>
  <c r="G203" i="7" s="1"/>
  <c r="H203" i="7" s="1"/>
  <c r="B15" i="7"/>
  <c r="D15" i="7"/>
  <c r="K206" i="7"/>
  <c r="G206" i="7" s="1"/>
  <c r="H206" i="7" s="1"/>
  <c r="K207" i="7"/>
  <c r="G207" i="7" s="1"/>
  <c r="H207" i="7" s="1"/>
  <c r="K208" i="7"/>
  <c r="G208" i="7" s="1"/>
  <c r="H208" i="7" s="1"/>
  <c r="K229" i="7"/>
  <c r="G229" i="7" s="1"/>
  <c r="H229" i="7" s="1"/>
  <c r="K231" i="7"/>
  <c r="G231" i="7" s="1"/>
  <c r="H231" i="7" s="1"/>
  <c r="K234" i="7"/>
  <c r="G234" i="7" s="1"/>
  <c r="H234" i="7" s="1"/>
  <c r="K236" i="7"/>
  <c r="G236" i="7" s="1"/>
  <c r="H236" i="7" s="1"/>
  <c r="K239" i="7"/>
  <c r="G239" i="7" s="1"/>
  <c r="H239" i="7" s="1"/>
  <c r="K240" i="7"/>
  <c r="G240" i="7" s="1"/>
  <c r="H240" i="7" s="1"/>
  <c r="K242" i="7"/>
  <c r="G242" i="7" s="1"/>
  <c r="H242" i="7" s="1"/>
  <c r="K254" i="7"/>
  <c r="G254" i="7" s="1"/>
  <c r="H254" i="7" s="1"/>
  <c r="K256" i="7"/>
  <c r="G256" i="7" s="1"/>
  <c r="H256" i="7" s="1"/>
  <c r="K258" i="7"/>
  <c r="G258" i="7" s="1"/>
  <c r="H258" i="7" s="1"/>
  <c r="K259" i="7"/>
  <c r="G259" i="7" s="1"/>
  <c r="H259" i="7" s="1"/>
  <c r="K341" i="7"/>
  <c r="G341" i="7" s="1"/>
  <c r="H341" i="7" s="1"/>
  <c r="K342" i="7"/>
  <c r="G342" i="7" s="1"/>
  <c r="H342" i="7" s="1"/>
  <c r="K346" i="7"/>
  <c r="G346" i="7" s="1"/>
  <c r="H346" i="7" s="1"/>
  <c r="K349" i="7"/>
  <c r="G349" i="7" s="1"/>
  <c r="H349" i="7" s="1"/>
  <c r="K350" i="7"/>
  <c r="G350" i="7" s="1"/>
  <c r="H350" i="7" s="1"/>
  <c r="K353" i="7"/>
  <c r="G353" i="7" s="1"/>
  <c r="H353" i="7" s="1"/>
  <c r="K354" i="7"/>
  <c r="G354" i="7" s="1"/>
  <c r="H354" i="7" s="1"/>
  <c r="K363" i="7"/>
  <c r="G363" i="7" s="1"/>
  <c r="H363" i="7" s="1"/>
  <c r="K365" i="7"/>
  <c r="G365" i="7" s="1"/>
  <c r="H365" i="7" s="1"/>
  <c r="K367" i="7"/>
  <c r="G367" i="7" s="1"/>
  <c r="H367" i="7" s="1"/>
  <c r="K368" i="7"/>
  <c r="G368" i="7" s="1"/>
  <c r="H368" i="7" s="1"/>
  <c r="K370" i="7"/>
  <c r="G370" i="7" s="1"/>
  <c r="H370" i="7" s="1"/>
  <c r="E390" i="7"/>
  <c r="E391" i="7"/>
  <c r="E394" i="7"/>
  <c r="E395" i="7"/>
  <c r="K424" i="7"/>
  <c r="G424" i="7" s="1"/>
  <c r="H424" i="7" s="1"/>
  <c r="K425" i="7"/>
  <c r="G425" i="7" s="1"/>
  <c r="H425" i="7" s="1"/>
  <c r="K426" i="7"/>
  <c r="G426" i="7" s="1"/>
  <c r="H426" i="7" s="1"/>
  <c r="K427" i="7"/>
  <c r="G427" i="7" s="1"/>
  <c r="H427" i="7" s="1"/>
  <c r="K429" i="7"/>
  <c r="G429" i="7" s="1"/>
  <c r="H429" i="7" s="1"/>
  <c r="K430" i="7"/>
  <c r="G430" i="7" s="1"/>
  <c r="H430" i="7" s="1"/>
  <c r="K453" i="7"/>
  <c r="G453" i="7" s="1"/>
  <c r="H453" i="7" s="1"/>
  <c r="K455" i="7"/>
  <c r="G455" i="7" s="1"/>
  <c r="H455" i="7" s="1"/>
  <c r="K461" i="7"/>
  <c r="G461" i="7" s="1"/>
  <c r="H461" i="7" s="1"/>
  <c r="K474" i="7"/>
  <c r="G474" i="7" s="1"/>
  <c r="H474" i="7" s="1"/>
  <c r="K478" i="7"/>
  <c r="G478" i="7" s="1"/>
  <c r="H478" i="7" s="1"/>
  <c r="K480" i="7"/>
  <c r="G480" i="7" s="1"/>
  <c r="H480" i="7" s="1"/>
  <c r="K481" i="7"/>
  <c r="G481" i="7" s="1"/>
  <c r="H481" i="7" s="1"/>
  <c r="E500" i="7"/>
  <c r="E501" i="7"/>
  <c r="E505" i="7"/>
  <c r="E506" i="7"/>
  <c r="K537" i="7"/>
  <c r="G537" i="7" s="1"/>
  <c r="H537" i="7" s="1"/>
  <c r="K538" i="7"/>
  <c r="G538" i="7" s="1"/>
  <c r="H538" i="7" s="1"/>
  <c r="K539" i="7"/>
  <c r="G539" i="7" s="1"/>
  <c r="H539" i="7" s="1"/>
  <c r="K540" i="7"/>
  <c r="G540" i="7" s="1"/>
  <c r="H540" i="7" s="1"/>
  <c r="K541" i="7"/>
  <c r="G541" i="7" s="1"/>
  <c r="H541" i="7" s="1"/>
  <c r="K542" i="7"/>
  <c r="G542" i="7" s="1"/>
  <c r="H542" i="7" s="1"/>
  <c r="K543" i="7"/>
  <c r="G543" i="7" s="1"/>
  <c r="H543" i="7" s="1"/>
  <c r="K564" i="7"/>
  <c r="G564" i="7" s="1"/>
  <c r="H564" i="7" s="1"/>
  <c r="K565" i="7"/>
  <c r="G565" i="7" s="1"/>
  <c r="H565" i="7" s="1"/>
  <c r="K569" i="7"/>
  <c r="G569" i="7" s="1"/>
  <c r="H569" i="7" s="1"/>
  <c r="K571" i="7"/>
  <c r="G571" i="7" s="1"/>
  <c r="H571" i="7" s="1"/>
  <c r="K572" i="7"/>
  <c r="G572" i="7" s="1"/>
  <c r="H572" i="7" s="1"/>
  <c r="K573" i="7"/>
  <c r="G573" i="7" s="1"/>
  <c r="H573" i="7" s="1"/>
  <c r="K575" i="7"/>
  <c r="G575" i="7" s="1"/>
  <c r="H575" i="7" s="1"/>
  <c r="K578" i="7"/>
  <c r="G578" i="7" s="1"/>
  <c r="H578" i="7" s="1"/>
  <c r="K588" i="7"/>
  <c r="G588" i="7" s="1"/>
  <c r="H588" i="7" s="1"/>
  <c r="K589" i="7"/>
  <c r="G589" i="7" s="1"/>
  <c r="H589" i="7" s="1"/>
  <c r="K590" i="7"/>
  <c r="G590" i="7" s="1"/>
  <c r="H590" i="7" s="1"/>
  <c r="K593" i="7"/>
  <c r="G593" i="7" s="1"/>
  <c r="H593" i="7" s="1"/>
  <c r="K595" i="7"/>
  <c r="G595" i="7" s="1"/>
  <c r="H595" i="7" s="1"/>
  <c r="E614" i="7"/>
  <c r="E617" i="7"/>
  <c r="E618" i="7"/>
  <c r="K649" i="7"/>
  <c r="G649" i="7" s="1"/>
  <c r="H649" i="7" s="1"/>
  <c r="K652" i="7"/>
  <c r="G652" i="7" s="1"/>
  <c r="H652" i="7" s="1"/>
  <c r="K654" i="7"/>
  <c r="G654" i="7" s="1"/>
  <c r="H654" i="7" s="1"/>
  <c r="K655" i="7"/>
  <c r="G655" i="7" s="1"/>
  <c r="H655" i="7" s="1"/>
  <c r="K675" i="7"/>
  <c r="G675" i="7" s="1"/>
  <c r="H675" i="7" s="1"/>
  <c r="K676" i="7"/>
  <c r="G676" i="7" s="1"/>
  <c r="H676" i="7" s="1"/>
  <c r="K678" i="7"/>
  <c r="G678" i="7" s="1"/>
  <c r="H678" i="7" s="1"/>
  <c r="K682" i="7"/>
  <c r="G682" i="7" s="1"/>
  <c r="H682" i="7" s="1"/>
  <c r="K688" i="7"/>
  <c r="G688" i="7" s="1"/>
  <c r="H688" i="7" s="1"/>
  <c r="K698" i="7"/>
  <c r="G698" i="7" s="1"/>
  <c r="H698" i="7" s="1"/>
  <c r="K700" i="7"/>
  <c r="G700" i="7" s="1"/>
  <c r="H700" i="7" s="1"/>
  <c r="K701" i="7"/>
  <c r="G701" i="7" s="1"/>
  <c r="H701" i="7" s="1"/>
  <c r="K702" i="7"/>
  <c r="G702" i="7" s="1"/>
  <c r="H702" i="7" s="1"/>
  <c r="K703" i="7"/>
  <c r="G703" i="7" s="1"/>
  <c r="H703" i="7" s="1"/>
  <c r="K706" i="7"/>
  <c r="G706" i="7" s="1"/>
  <c r="H706" i="7" s="1"/>
  <c r="E51" i="7"/>
  <c r="M463" i="7"/>
  <c r="L463" i="7"/>
  <c r="D463" i="7"/>
  <c r="M576" i="7"/>
  <c r="L576" i="7"/>
  <c r="D576" i="7"/>
  <c r="G767" i="7"/>
  <c r="E3" i="7"/>
  <c r="E4" i="7"/>
  <c r="E7" i="7"/>
  <c r="E8" i="7"/>
  <c r="E11" i="7"/>
  <c r="E12" i="7"/>
  <c r="E27" i="7"/>
  <c r="E29" i="7"/>
  <c r="E33" i="7"/>
  <c r="E35" i="7"/>
  <c r="B36" i="7"/>
  <c r="E36" i="7" s="1"/>
  <c r="L128" i="7"/>
  <c r="M149" i="7"/>
  <c r="B262" i="7"/>
  <c r="B576" i="7"/>
  <c r="M373" i="7"/>
  <c r="L373" i="7"/>
  <c r="D373" i="7"/>
  <c r="M484" i="7"/>
  <c r="L484" i="7"/>
  <c r="D484" i="7"/>
  <c r="M597" i="7"/>
  <c r="L597" i="7"/>
  <c r="D597" i="7"/>
  <c r="M352" i="7"/>
  <c r="K352" i="7" s="1"/>
  <c r="G352" i="7" s="1"/>
  <c r="D352" i="7"/>
  <c r="M687" i="7"/>
  <c r="L687" i="7"/>
  <c r="D687" i="7"/>
  <c r="M708" i="7"/>
  <c r="L708" i="7"/>
  <c r="D708" i="7"/>
  <c r="H21" i="7"/>
  <c r="M798" i="7"/>
  <c r="L798" i="7"/>
  <c r="D798" i="7"/>
  <c r="B798" i="7"/>
  <c r="M819" i="7"/>
  <c r="L819" i="7"/>
  <c r="D819" i="7"/>
  <c r="B819" i="7"/>
  <c r="G872" i="7"/>
  <c r="H872" i="7" s="1"/>
  <c r="G876" i="7"/>
  <c r="H876" i="7" s="1"/>
  <c r="L36" i="7"/>
  <c r="E52" i="7"/>
  <c r="E54" i="7"/>
  <c r="E55" i="7"/>
  <c r="E57" i="7"/>
  <c r="E58" i="7"/>
  <c r="K61" i="7"/>
  <c r="G61" i="7" s="1"/>
  <c r="K88" i="7"/>
  <c r="G88" i="7" s="1"/>
  <c r="H88" i="7" s="1"/>
  <c r="K90" i="7"/>
  <c r="G90" i="7" s="1"/>
  <c r="H90" i="7" s="1"/>
  <c r="K91" i="7"/>
  <c r="G91" i="7" s="1"/>
  <c r="H91" i="7" s="1"/>
  <c r="K95" i="7"/>
  <c r="G95" i="7" s="1"/>
  <c r="H95" i="7" s="1"/>
  <c r="K96" i="7"/>
  <c r="G96" i="7" s="1"/>
  <c r="H96" i="7" s="1"/>
  <c r="K116" i="7"/>
  <c r="G116" i="7" s="1"/>
  <c r="H116" i="7" s="1"/>
  <c r="K118" i="7"/>
  <c r="G118" i="7" s="1"/>
  <c r="H118" i="7" s="1"/>
  <c r="K120" i="7"/>
  <c r="G120" i="7" s="1"/>
  <c r="H120" i="7" s="1"/>
  <c r="K121" i="7"/>
  <c r="G121" i="7" s="1"/>
  <c r="H121" i="7" s="1"/>
  <c r="K122" i="7"/>
  <c r="G122" i="7" s="1"/>
  <c r="H122" i="7" s="1"/>
  <c r="K127" i="7"/>
  <c r="G127" i="7" s="1"/>
  <c r="H127" i="7" s="1"/>
  <c r="M128" i="7"/>
  <c r="K173" i="7"/>
  <c r="G173" i="7" s="1"/>
  <c r="K182" i="7"/>
  <c r="G182" i="7" s="1"/>
  <c r="H182" i="7" s="1"/>
  <c r="K183" i="7"/>
  <c r="G183" i="7" s="1"/>
  <c r="H183" i="7" s="1"/>
  <c r="K184" i="7"/>
  <c r="G184" i="7" s="1"/>
  <c r="H184" i="7" s="1"/>
  <c r="K185" i="7"/>
  <c r="G185" i="7" s="1"/>
  <c r="H185" i="7" s="1"/>
  <c r="K187" i="7"/>
  <c r="G187" i="7" s="1"/>
  <c r="H187" i="7" s="1"/>
  <c r="K188" i="7"/>
  <c r="G188" i="7" s="1"/>
  <c r="H188" i="7" s="1"/>
  <c r="K212" i="7"/>
  <c r="G212" i="7" s="1"/>
  <c r="K221" i="7"/>
  <c r="G221" i="7" s="1"/>
  <c r="H221" i="7" s="1"/>
  <c r="B241" i="7"/>
  <c r="E241" i="7" s="1"/>
  <c r="L262" i="7"/>
  <c r="E278" i="7"/>
  <c r="E283" i="7"/>
  <c r="K287" i="7"/>
  <c r="G287" i="7" s="1"/>
  <c r="K313" i="7"/>
  <c r="G313" i="7" s="1"/>
  <c r="H313" i="7" s="1"/>
  <c r="K314" i="7"/>
  <c r="G314" i="7" s="1"/>
  <c r="H314" i="7" s="1"/>
  <c r="K315" i="7"/>
  <c r="G315" i="7" s="1"/>
  <c r="H315" i="7" s="1"/>
  <c r="K319" i="7"/>
  <c r="G319" i="7" s="1"/>
  <c r="H319" i="7" s="1"/>
  <c r="B373" i="7"/>
  <c r="B597" i="7"/>
  <c r="M36" i="7"/>
  <c r="B149" i="7"/>
  <c r="E149" i="7" s="1"/>
  <c r="L241" i="7"/>
  <c r="M262" i="7"/>
  <c r="B463" i="7"/>
  <c r="B687" i="7"/>
  <c r="K60" i="7"/>
  <c r="G60" i="7" s="1"/>
  <c r="K69" i="7"/>
  <c r="G69" i="7" s="1"/>
  <c r="H69" i="7" s="1"/>
  <c r="K72" i="7"/>
  <c r="G72" i="7" s="1"/>
  <c r="H72" i="7" s="1"/>
  <c r="K73" i="7"/>
  <c r="G73" i="7" s="1"/>
  <c r="H73" i="7" s="1"/>
  <c r="K74" i="7"/>
  <c r="G74" i="7" s="1"/>
  <c r="H74" i="7" s="1"/>
  <c r="K76" i="7"/>
  <c r="G76" i="7" s="1"/>
  <c r="H76" i="7" s="1"/>
  <c r="K77" i="7"/>
  <c r="G77" i="7" s="1"/>
  <c r="H77" i="7" s="1"/>
  <c r="K99" i="7"/>
  <c r="G99" i="7" s="1"/>
  <c r="K108" i="7"/>
  <c r="G108" i="7" s="1"/>
  <c r="H108" i="7" s="1"/>
  <c r="B128" i="7"/>
  <c r="E128" i="7" s="1"/>
  <c r="L149" i="7"/>
  <c r="M241" i="7"/>
  <c r="E277" i="7"/>
  <c r="K295" i="7"/>
  <c r="G295" i="7" s="1"/>
  <c r="H295" i="7" s="1"/>
  <c r="K298" i="7"/>
  <c r="G298" i="7" s="1"/>
  <c r="H298" i="7" s="1"/>
  <c r="K300" i="7"/>
  <c r="G300" i="7" s="1"/>
  <c r="H300" i="7" s="1"/>
  <c r="K301" i="7"/>
  <c r="G301" i="7" s="1"/>
  <c r="H301" i="7" s="1"/>
  <c r="K302" i="7"/>
  <c r="G302" i="7" s="1"/>
  <c r="H302" i="7" s="1"/>
  <c r="K303" i="7"/>
  <c r="G303" i="7" s="1"/>
  <c r="H303" i="7" s="1"/>
  <c r="K323" i="7"/>
  <c r="G323" i="7" s="1"/>
  <c r="K331" i="7"/>
  <c r="G331" i="7" s="1"/>
  <c r="H331" i="7" s="1"/>
  <c r="K332" i="7"/>
  <c r="G332" i="7" s="1"/>
  <c r="H332" i="7" s="1"/>
  <c r="B352" i="7"/>
  <c r="B484" i="7"/>
  <c r="B708" i="7"/>
  <c r="K53" i="7"/>
  <c r="G53" i="7" s="1"/>
  <c r="H53" i="7" s="1"/>
  <c r="E91" i="7"/>
  <c r="E116" i="7"/>
  <c r="E119" i="7"/>
  <c r="E124" i="7"/>
  <c r="K131" i="7"/>
  <c r="G131" i="7" s="1"/>
  <c r="E143" i="7"/>
  <c r="K165" i="7"/>
  <c r="G165" i="7" s="1"/>
  <c r="H165" i="7" s="1"/>
  <c r="K168" i="7"/>
  <c r="G168" i="7" s="1"/>
  <c r="H168" i="7" s="1"/>
  <c r="K170" i="7"/>
  <c r="G170" i="7" s="1"/>
  <c r="H170" i="7" s="1"/>
  <c r="E184" i="7"/>
  <c r="E189" i="7"/>
  <c r="E202" i="7"/>
  <c r="K210" i="7"/>
  <c r="G210" i="7" s="1"/>
  <c r="K211" i="7"/>
  <c r="G211" i="7" s="1"/>
  <c r="E230" i="7"/>
  <c r="E233" i="7"/>
  <c r="E235" i="7"/>
  <c r="E238" i="7"/>
  <c r="E239" i="7"/>
  <c r="K244" i="7"/>
  <c r="G244" i="7" s="1"/>
  <c r="K245" i="7"/>
  <c r="G245" i="7" s="1"/>
  <c r="E255" i="7"/>
  <c r="E258" i="7"/>
  <c r="E261" i="7"/>
  <c r="K265" i="7"/>
  <c r="G265" i="7" s="1"/>
  <c r="K279" i="7"/>
  <c r="G279" i="7" s="1"/>
  <c r="H279" i="7" s="1"/>
  <c r="K282" i="7"/>
  <c r="G282" i="7" s="1"/>
  <c r="H282" i="7" s="1"/>
  <c r="K288" i="7"/>
  <c r="G288" i="7" s="1"/>
  <c r="E297" i="7"/>
  <c r="E316" i="7"/>
  <c r="E318" i="7"/>
  <c r="E343" i="7"/>
  <c r="E345" i="7"/>
  <c r="E346" i="7"/>
  <c r="E351" i="7"/>
  <c r="E364" i="7"/>
  <c r="E365" i="7"/>
  <c r="E367" i="7"/>
  <c r="E371" i="7"/>
  <c r="E372" i="7"/>
  <c r="K376" i="7"/>
  <c r="G376" i="7" s="1"/>
  <c r="K391" i="7"/>
  <c r="G391" i="7" s="1"/>
  <c r="H391" i="7" s="1"/>
  <c r="K392" i="7"/>
  <c r="G392" i="7" s="1"/>
  <c r="H392" i="7" s="1"/>
  <c r="K394" i="7"/>
  <c r="G394" i="7" s="1"/>
  <c r="H394" i="7" s="1"/>
  <c r="K396" i="7"/>
  <c r="G396" i="7" s="1"/>
  <c r="H396" i="7" s="1"/>
  <c r="E409" i="7"/>
  <c r="K417" i="7"/>
  <c r="G417" i="7" s="1"/>
  <c r="E424" i="7"/>
  <c r="E426" i="7"/>
  <c r="E428" i="7"/>
  <c r="E429" i="7"/>
  <c r="K432" i="7"/>
  <c r="G432" i="7" s="1"/>
  <c r="K433" i="7"/>
  <c r="G433" i="7" s="1"/>
  <c r="E452" i="7"/>
  <c r="E454" i="7"/>
  <c r="E455" i="7"/>
  <c r="E456" i="7"/>
  <c r="E457" i="7"/>
  <c r="E458" i="7"/>
  <c r="E459" i="7"/>
  <c r="E460" i="7"/>
  <c r="E461" i="7"/>
  <c r="E462" i="7"/>
  <c r="E475" i="7"/>
  <c r="E477" i="7"/>
  <c r="E478" i="7"/>
  <c r="K501" i="7"/>
  <c r="G501" i="7" s="1"/>
  <c r="H501" i="7" s="1"/>
  <c r="K546" i="7"/>
  <c r="G546" i="7" s="1"/>
  <c r="E570" i="7"/>
  <c r="E5" i="7"/>
  <c r="E9" i="7"/>
  <c r="E34" i="7"/>
  <c r="E123" i="7"/>
  <c r="E126" i="7"/>
  <c r="E142" i="7"/>
  <c r="E145" i="7"/>
  <c r="K166" i="7"/>
  <c r="G166" i="7" s="1"/>
  <c r="H166" i="7" s="1"/>
  <c r="E205" i="7"/>
  <c r="E256" i="7"/>
  <c r="K280" i="7"/>
  <c r="G280" i="7" s="1"/>
  <c r="H280" i="7" s="1"/>
  <c r="K281" i="7"/>
  <c r="G281" i="7" s="1"/>
  <c r="H281" i="7" s="1"/>
  <c r="K306" i="7"/>
  <c r="G306" i="7" s="1"/>
  <c r="E483" i="7"/>
  <c r="K502" i="7"/>
  <c r="G502" i="7" s="1"/>
  <c r="H502" i="7" s="1"/>
  <c r="K504" i="7"/>
  <c r="G504" i="7" s="1"/>
  <c r="H504" i="7" s="1"/>
  <c r="K506" i="7"/>
  <c r="G506" i="7" s="1"/>
  <c r="H506" i="7" s="1"/>
  <c r="K528" i="7"/>
  <c r="G528" i="7" s="1"/>
  <c r="E535" i="7"/>
  <c r="E536" i="7"/>
  <c r="E539" i="7"/>
  <c r="E540" i="7"/>
  <c r="E564" i="7"/>
  <c r="E566" i="7"/>
  <c r="E567" i="7"/>
  <c r="E568" i="7"/>
  <c r="E573" i="7"/>
  <c r="E14" i="7"/>
  <c r="K59" i="7"/>
  <c r="G59" i="7" s="1"/>
  <c r="H59" i="7" s="1"/>
  <c r="E120" i="7"/>
  <c r="K169" i="7"/>
  <c r="G169" i="7" s="1"/>
  <c r="H169" i="7" s="1"/>
  <c r="K193" i="7"/>
  <c r="G193" i="7" s="1"/>
  <c r="E231" i="7"/>
  <c r="E236" i="7"/>
  <c r="E260" i="7"/>
  <c r="E317" i="7"/>
  <c r="E69" i="7"/>
  <c r="E70" i="7"/>
  <c r="E76" i="7"/>
  <c r="K175" i="7"/>
  <c r="G175" i="7" s="1"/>
  <c r="E186" i="7"/>
  <c r="K192" i="7"/>
  <c r="G192" i="7" s="1"/>
  <c r="E300" i="7"/>
  <c r="E407" i="7"/>
  <c r="E413" i="7"/>
  <c r="E6" i="7"/>
  <c r="E10" i="7"/>
  <c r="E13" i="7"/>
  <c r="E26" i="7"/>
  <c r="E32" i="7"/>
  <c r="K132" i="7"/>
  <c r="G132" i="7" s="1"/>
  <c r="E232" i="7"/>
  <c r="K285" i="7"/>
  <c r="G285" i="7" s="1"/>
  <c r="H285" i="7" s="1"/>
  <c r="E340" i="7"/>
  <c r="E344" i="7"/>
  <c r="E348" i="7"/>
  <c r="K18" i="7"/>
  <c r="G18" i="7" s="1"/>
  <c r="K38" i="7"/>
  <c r="G38" i="7" s="1"/>
  <c r="K62" i="7"/>
  <c r="G62" i="7" s="1"/>
  <c r="E72" i="7"/>
  <c r="E73" i="7"/>
  <c r="E74" i="7"/>
  <c r="K151" i="7"/>
  <c r="G151" i="7" s="1"/>
  <c r="E295" i="7"/>
  <c r="E296" i="7"/>
  <c r="K399" i="7"/>
  <c r="G399" i="7" s="1"/>
  <c r="E410" i="7"/>
  <c r="E411" i="7"/>
  <c r="B45" i="7"/>
  <c r="C105" i="7" s="1"/>
  <c r="H358" i="7"/>
  <c r="K469" i="7"/>
  <c r="E574" i="7"/>
  <c r="H223" i="7"/>
  <c r="H225" i="7"/>
  <c r="H660" i="7"/>
  <c r="G705" i="7"/>
  <c r="H705" i="7" s="1"/>
  <c r="K19" i="7"/>
  <c r="G19" i="7" s="1"/>
  <c r="E28" i="7"/>
  <c r="E30" i="7"/>
  <c r="K56" i="7"/>
  <c r="G56" i="7" s="1"/>
  <c r="H56" i="7" s="1"/>
  <c r="K57" i="7"/>
  <c r="G57" i="7" s="1"/>
  <c r="H57" i="7" s="1"/>
  <c r="K82" i="7"/>
  <c r="H82" i="7" s="1"/>
  <c r="H101" i="7"/>
  <c r="H334" i="7"/>
  <c r="H336" i="7"/>
  <c r="H559" i="7"/>
  <c r="H110" i="7"/>
  <c r="H112" i="7"/>
  <c r="G164" i="7"/>
  <c r="H164" i="7" s="1"/>
  <c r="K325" i="7"/>
  <c r="H325" i="7" s="1"/>
  <c r="H560" i="7"/>
  <c r="G793" i="7"/>
  <c r="H793" i="7" s="1"/>
  <c r="G797" i="7"/>
  <c r="H797" i="7" s="1"/>
  <c r="G861" i="7"/>
  <c r="O16" i="7"/>
  <c r="O37" i="7"/>
  <c r="A22" i="7"/>
  <c r="A6" i="7"/>
  <c r="A10" i="7"/>
  <c r="A14" i="7"/>
  <c r="A16" i="7"/>
  <c r="A17" i="7"/>
  <c r="O18" i="7"/>
  <c r="A28" i="7"/>
  <c r="A31" i="7"/>
  <c r="A33" i="7"/>
  <c r="A36" i="7"/>
  <c r="O38" i="7"/>
  <c r="A40" i="7"/>
  <c r="A44" i="7"/>
  <c r="A46" i="7"/>
  <c r="G46" i="7"/>
  <c r="H46" i="7" s="1"/>
  <c r="O60" i="7"/>
  <c r="O62" i="7"/>
  <c r="A70" i="7"/>
  <c r="K71" i="7"/>
  <c r="G71" i="7" s="1"/>
  <c r="H71" i="7" s="1"/>
  <c r="A74" i="7"/>
  <c r="K75" i="7"/>
  <c r="G75" i="7" s="1"/>
  <c r="H75" i="7" s="1"/>
  <c r="K89" i="7"/>
  <c r="G89" i="7" s="1"/>
  <c r="H89" i="7" s="1"/>
  <c r="I160" i="7"/>
  <c r="K161" i="7" s="1"/>
  <c r="H161" i="7" s="1"/>
  <c r="K162" i="7" s="1"/>
  <c r="H162" i="7" s="1"/>
  <c r="A893" i="7"/>
  <c r="A891" i="7"/>
  <c r="A886" i="7"/>
  <c r="A885" i="7"/>
  <c r="A884" i="7"/>
  <c r="A881" i="7"/>
  <c r="A880" i="7"/>
  <c r="A879" i="7"/>
  <c r="A878" i="7"/>
  <c r="A874" i="7"/>
  <c r="A866" i="7"/>
  <c r="A860" i="7"/>
  <c r="A856" i="7"/>
  <c r="A889" i="7"/>
  <c r="A888" i="7"/>
  <c r="A875" i="7"/>
  <c r="A871" i="7"/>
  <c r="A870" i="7"/>
  <c r="A869" i="7"/>
  <c r="A868" i="7"/>
  <c r="A867" i="7"/>
  <c r="A864" i="7"/>
  <c r="A863" i="7"/>
  <c r="A862" i="7"/>
  <c r="A861" i="7"/>
  <c r="A857" i="7"/>
  <c r="A853" i="7"/>
  <c r="A852" i="7"/>
  <c r="A851" i="7"/>
  <c r="A850" i="7"/>
  <c r="A849" i="7"/>
  <c r="A846" i="7"/>
  <c r="A845" i="7"/>
  <c r="A844" i="7"/>
  <c r="A843" i="7"/>
  <c r="A839" i="7"/>
  <c r="A835" i="7"/>
  <c r="A892" i="7"/>
  <c r="A890" i="7"/>
  <c r="A882" i="7"/>
  <c r="A876" i="7"/>
  <c r="A872" i="7"/>
  <c r="A858" i="7"/>
  <c r="A854" i="7"/>
  <c r="A840" i="7"/>
  <c r="A895" i="7"/>
  <c r="A894" i="7"/>
  <c r="A887" i="7"/>
  <c r="A883" i="7"/>
  <c r="A877" i="7"/>
  <c r="A873" i="7"/>
  <c r="A865" i="7"/>
  <c r="A859" i="7"/>
  <c r="A855" i="7"/>
  <c r="A847" i="7"/>
  <c r="A841" i="7"/>
  <c r="A837" i="7"/>
  <c r="A834" i="7"/>
  <c r="A831" i="7"/>
  <c r="A829" i="7"/>
  <c r="A824" i="7"/>
  <c r="A816" i="7"/>
  <c r="A812" i="7"/>
  <c r="A798" i="7"/>
  <c r="A794" i="7"/>
  <c r="A790" i="7"/>
  <c r="A786" i="7"/>
  <c r="A785" i="7"/>
  <c r="A784" i="7"/>
  <c r="A783" i="7"/>
  <c r="A832" i="7"/>
  <c r="A848" i="7"/>
  <c r="A842" i="7"/>
  <c r="A838" i="7"/>
  <c r="A836" i="7"/>
  <c r="A830" i="7"/>
  <c r="A828" i="7"/>
  <c r="A827" i="7"/>
  <c r="A826" i="7"/>
  <c r="A823" i="7"/>
  <c r="A822" i="7"/>
  <c r="A821" i="7"/>
  <c r="A820" i="7"/>
  <c r="A818" i="7"/>
  <c r="A814" i="7"/>
  <c r="A810" i="7"/>
  <c r="A833" i="7"/>
  <c r="A819" i="7"/>
  <c r="A815" i="7"/>
  <c r="A811" i="7"/>
  <c r="A805" i="7"/>
  <c r="A803" i="7"/>
  <c r="A802" i="7"/>
  <c r="A801" i="7"/>
  <c r="A800" i="7"/>
  <c r="A799" i="7"/>
  <c r="A797" i="7"/>
  <c r="A793" i="7"/>
  <c r="A789" i="7"/>
  <c r="A807" i="7"/>
  <c r="A796" i="7"/>
  <c r="A792" i="7"/>
  <c r="A788" i="7"/>
  <c r="A781" i="7"/>
  <c r="A780" i="7"/>
  <c r="A775" i="7"/>
  <c r="A774" i="7"/>
  <c r="A773" i="7"/>
  <c r="A770" i="7"/>
  <c r="A769" i="7"/>
  <c r="A768" i="7"/>
  <c r="A767" i="7"/>
  <c r="A763" i="7"/>
  <c r="A755" i="7"/>
  <c r="A817" i="7"/>
  <c r="A808" i="7"/>
  <c r="A806" i="7"/>
  <c r="A779" i="7"/>
  <c r="A771" i="7"/>
  <c r="A765" i="7"/>
  <c r="A761" i="7"/>
  <c r="A747" i="7"/>
  <c r="A743" i="7"/>
  <c r="A825" i="7"/>
  <c r="A809" i="7"/>
  <c r="A782" i="7"/>
  <c r="A776" i="7"/>
  <c r="A772" i="7"/>
  <c r="A766" i="7"/>
  <c r="A762" i="7"/>
  <c r="A754" i="7"/>
  <c r="A804" i="7"/>
  <c r="A749" i="7"/>
  <c r="A746" i="7"/>
  <c r="A744" i="7"/>
  <c r="A741" i="7"/>
  <c r="A735" i="7"/>
  <c r="A731" i="7"/>
  <c r="A727" i="7"/>
  <c r="A723" i="7"/>
  <c r="A722" i="7"/>
  <c r="A719" i="7"/>
  <c r="A717" i="7"/>
  <c r="A716" i="7"/>
  <c r="A715" i="7"/>
  <c r="A712" i="7"/>
  <c r="A711" i="7"/>
  <c r="A710" i="7"/>
  <c r="A709" i="7"/>
  <c r="A707" i="7"/>
  <c r="A703" i="7"/>
  <c r="A699" i="7"/>
  <c r="A813" i="7"/>
  <c r="A791" i="7"/>
  <c r="A778" i="7"/>
  <c r="A777" i="7"/>
  <c r="A760" i="7"/>
  <c r="A759" i="7"/>
  <c r="A757" i="7"/>
  <c r="A752" i="7"/>
  <c r="A737" i="7"/>
  <c r="A734" i="7"/>
  <c r="A732" i="7"/>
  <c r="A728" i="7"/>
  <c r="A724" i="7"/>
  <c r="A708" i="7"/>
  <c r="A704" i="7"/>
  <c r="A700" i="7"/>
  <c r="A694" i="7"/>
  <c r="A692" i="7"/>
  <c r="A691" i="7"/>
  <c r="A690" i="7"/>
  <c r="A689" i="7"/>
  <c r="A688" i="7"/>
  <c r="A686" i="7"/>
  <c r="A682" i="7"/>
  <c r="A678" i="7"/>
  <c r="A670" i="7"/>
  <c r="A668" i="7"/>
  <c r="A660" i="7"/>
  <c r="A654" i="7"/>
  <c r="A650" i="7"/>
  <c r="A636" i="7"/>
  <c r="A764" i="7"/>
  <c r="A753" i="7"/>
  <c r="A750" i="7"/>
  <c r="A748" i="7"/>
  <c r="A745" i="7"/>
  <c r="A742" i="7"/>
  <c r="A736" i="7"/>
  <c r="A733" i="7"/>
  <c r="A729" i="7"/>
  <c r="A725" i="7"/>
  <c r="A720" i="7"/>
  <c r="A718" i="7"/>
  <c r="A713" i="7"/>
  <c r="A705" i="7"/>
  <c r="A701" i="7"/>
  <c r="A687" i="7"/>
  <c r="A683" i="7"/>
  <c r="A679" i="7"/>
  <c r="A675" i="7"/>
  <c r="A674" i="7"/>
  <c r="A673" i="7"/>
  <c r="A672" i="7"/>
  <c r="A665" i="7"/>
  <c r="A661" i="7"/>
  <c r="A795" i="7"/>
  <c r="A787" i="7"/>
  <c r="A758" i="7"/>
  <c r="A756" i="7"/>
  <c r="A751" i="7"/>
  <c r="A740" i="7"/>
  <c r="A739" i="7"/>
  <c r="A738" i="7"/>
  <c r="A730" i="7"/>
  <c r="A726" i="7"/>
  <c r="A721" i="7"/>
  <c r="A714" i="7"/>
  <c r="A706" i="7"/>
  <c r="A702" i="7"/>
  <c r="A698" i="7"/>
  <c r="A697" i="7"/>
  <c r="A696" i="7"/>
  <c r="A695" i="7"/>
  <c r="A693" i="7"/>
  <c r="A664" i="7"/>
  <c r="A662" i="7"/>
  <c r="A644" i="7"/>
  <c r="A641" i="7"/>
  <c r="A638" i="7"/>
  <c r="A635" i="7"/>
  <c r="A633" i="7"/>
  <c r="A626" i="7"/>
  <c r="A620" i="7"/>
  <c r="A616" i="7"/>
  <c r="A671" i="7"/>
  <c r="A657" i="7"/>
  <c r="A655" i="7"/>
  <c r="A652" i="7"/>
  <c r="A649" i="7"/>
  <c r="A643" i="7"/>
  <c r="A640" i="7"/>
  <c r="A631" i="7"/>
  <c r="A630" i="7"/>
  <c r="A629" i="7"/>
  <c r="A628" i="7"/>
  <c r="A627" i="7"/>
  <c r="A624" i="7"/>
  <c r="A623" i="7"/>
  <c r="A622" i="7"/>
  <c r="A621" i="7"/>
  <c r="A617" i="7"/>
  <c r="A613" i="7"/>
  <c r="A597" i="7"/>
  <c r="A593" i="7"/>
  <c r="A589" i="7"/>
  <c r="A583" i="7"/>
  <c r="A581" i="7"/>
  <c r="A580" i="7"/>
  <c r="A579" i="7"/>
  <c r="A578" i="7"/>
  <c r="A577" i="7"/>
  <c r="A575" i="7"/>
  <c r="A571" i="7"/>
  <c r="A567" i="7"/>
  <c r="A685" i="7"/>
  <c r="A681" i="7"/>
  <c r="A677" i="7"/>
  <c r="A669" i="7"/>
  <c r="A663" i="7"/>
  <c r="A659" i="7"/>
  <c r="A647" i="7"/>
  <c r="A646" i="7"/>
  <c r="A645" i="7"/>
  <c r="A639" i="7"/>
  <c r="A637" i="7"/>
  <c r="A634" i="7"/>
  <c r="A632" i="7"/>
  <c r="A618" i="7"/>
  <c r="A614" i="7"/>
  <c r="A609" i="7"/>
  <c r="A607" i="7"/>
  <c r="A602" i="7"/>
  <c r="A594" i="7"/>
  <c r="A590" i="7"/>
  <c r="A576" i="7"/>
  <c r="A572" i="7"/>
  <c r="A568" i="7"/>
  <c r="A564" i="7"/>
  <c r="A563" i="7"/>
  <c r="A562" i="7"/>
  <c r="A561" i="7"/>
  <c r="A554" i="7"/>
  <c r="A550" i="7"/>
  <c r="A684" i="7"/>
  <c r="A680" i="7"/>
  <c r="A676" i="7"/>
  <c r="A667" i="7"/>
  <c r="A666" i="7"/>
  <c r="A658" i="7"/>
  <c r="A656" i="7"/>
  <c r="A653" i="7"/>
  <c r="A651" i="7"/>
  <c r="A648" i="7"/>
  <c r="A642" i="7"/>
  <c r="A625" i="7"/>
  <c r="A619" i="7"/>
  <c r="A615" i="7"/>
  <c r="A610" i="7"/>
  <c r="A603" i="7"/>
  <c r="A611" i="7"/>
  <c r="A601" i="7"/>
  <c r="A599" i="7"/>
  <c r="A598" i="7"/>
  <c r="A595" i="7"/>
  <c r="A591" i="7"/>
  <c r="A587" i="7"/>
  <c r="A557" i="7"/>
  <c r="A555" i="7"/>
  <c r="A553" i="7"/>
  <c r="A542" i="7"/>
  <c r="A538" i="7"/>
  <c r="A530" i="7"/>
  <c r="A524" i="7"/>
  <c r="A520" i="7"/>
  <c r="A512" i="7"/>
  <c r="A506" i="7"/>
  <c r="A502" i="7"/>
  <c r="A612" i="7"/>
  <c r="A606" i="7"/>
  <c r="A604" i="7"/>
  <c r="A585" i="7"/>
  <c r="A582" i="7"/>
  <c r="A560" i="7"/>
  <c r="A556" i="7"/>
  <c r="A543" i="7"/>
  <c r="A539" i="7"/>
  <c r="A531" i="7"/>
  <c r="A525" i="7"/>
  <c r="A521" i="7"/>
  <c r="A608" i="7"/>
  <c r="A600" i="7"/>
  <c r="A574" i="7"/>
  <c r="A570" i="7"/>
  <c r="A566" i="7"/>
  <c r="A559" i="7"/>
  <c r="A558" i="7"/>
  <c r="A551" i="7"/>
  <c r="A549" i="7"/>
  <c r="A544" i="7"/>
  <c r="A540" i="7"/>
  <c r="A536" i="7"/>
  <c r="A535" i="7"/>
  <c r="A534" i="7"/>
  <c r="A533" i="7"/>
  <c r="A532" i="7"/>
  <c r="A529" i="7"/>
  <c r="A528" i="7"/>
  <c r="A527" i="7"/>
  <c r="A526" i="7"/>
  <c r="A522" i="7"/>
  <c r="A518" i="7"/>
  <c r="A517" i="7"/>
  <c r="A516" i="7"/>
  <c r="A515" i="7"/>
  <c r="A514" i="7"/>
  <c r="A511" i="7"/>
  <c r="A510" i="7"/>
  <c r="A509" i="7"/>
  <c r="A508" i="7"/>
  <c r="A504" i="7"/>
  <c r="A500" i="7"/>
  <c r="A484" i="7"/>
  <c r="A480" i="7"/>
  <c r="A476" i="7"/>
  <c r="A470" i="7"/>
  <c r="A468" i="7"/>
  <c r="A467" i="7"/>
  <c r="A605" i="7"/>
  <c r="A596" i="7"/>
  <c r="A592" i="7"/>
  <c r="A588" i="7"/>
  <c r="A586" i="7"/>
  <c r="A584" i="7"/>
  <c r="A573" i="7"/>
  <c r="A569" i="7"/>
  <c r="A565" i="7"/>
  <c r="A552" i="7"/>
  <c r="A548" i="7"/>
  <c r="A547" i="7"/>
  <c r="A546" i="7"/>
  <c r="A545" i="7"/>
  <c r="A541" i="7"/>
  <c r="A537" i="7"/>
  <c r="A523" i="7"/>
  <c r="A519" i="7"/>
  <c r="A505" i="7"/>
  <c r="A501" i="7"/>
  <c r="A496" i="7"/>
  <c r="A494" i="7"/>
  <c r="A489" i="7"/>
  <c r="A481" i="7"/>
  <c r="A477" i="7"/>
  <c r="A463" i="7"/>
  <c r="A459" i="7"/>
  <c r="A455" i="7"/>
  <c r="A492" i="7"/>
  <c r="A487" i="7"/>
  <c r="A485" i="7"/>
  <c r="A482" i="7"/>
  <c r="A478" i="7"/>
  <c r="A474" i="7"/>
  <c r="A452" i="7"/>
  <c r="A447" i="7"/>
  <c r="A445" i="7"/>
  <c r="A440" i="7"/>
  <c r="A439" i="7"/>
  <c r="A438" i="7"/>
  <c r="A435" i="7"/>
  <c r="A434" i="7"/>
  <c r="A433" i="7"/>
  <c r="A432" i="7"/>
  <c r="A428" i="7"/>
  <c r="A420" i="7"/>
  <c r="A499" i="7"/>
  <c r="A498" i="7"/>
  <c r="A495" i="7"/>
  <c r="A493" i="7"/>
  <c r="A488" i="7"/>
  <c r="A472" i="7"/>
  <c r="A469" i="7"/>
  <c r="A465" i="7"/>
  <c r="A462" i="7"/>
  <c r="A460" i="7"/>
  <c r="A457" i="7"/>
  <c r="A453" i="7"/>
  <c r="A443" i="7"/>
  <c r="A442" i="7"/>
  <c r="A429" i="7"/>
  <c r="A425" i="7"/>
  <c r="A424" i="7"/>
  <c r="A423" i="7"/>
  <c r="A422" i="7"/>
  <c r="A421" i="7"/>
  <c r="A418" i="7"/>
  <c r="A417" i="7"/>
  <c r="A416" i="7"/>
  <c r="A415" i="7"/>
  <c r="A411" i="7"/>
  <c r="A407" i="7"/>
  <c r="A503" i="7"/>
  <c r="A497" i="7"/>
  <c r="A464" i="7"/>
  <c r="A454" i="7"/>
  <c r="A446" i="7"/>
  <c r="A444" i="7"/>
  <c r="A436" i="7"/>
  <c r="A430" i="7"/>
  <c r="A426" i="7"/>
  <c r="A412" i="7"/>
  <c r="A408" i="7"/>
  <c r="A394" i="7"/>
  <c r="A390" i="7"/>
  <c r="A385" i="7"/>
  <c r="A383" i="7"/>
  <c r="A378" i="7"/>
  <c r="A370" i="7"/>
  <c r="A366" i="7"/>
  <c r="A513" i="7"/>
  <c r="A507" i="7"/>
  <c r="A491" i="7"/>
  <c r="A490" i="7"/>
  <c r="A486" i="7"/>
  <c r="A483" i="7"/>
  <c r="A479" i="7"/>
  <c r="A475" i="7"/>
  <c r="A473" i="7"/>
  <c r="A471" i="7"/>
  <c r="A466" i="7"/>
  <c r="A461" i="7"/>
  <c r="A458" i="7"/>
  <c r="A456" i="7"/>
  <c r="A451" i="7"/>
  <c r="A450" i="7"/>
  <c r="A449" i="7"/>
  <c r="A448" i="7"/>
  <c r="A441" i="7"/>
  <c r="A437" i="7"/>
  <c r="A431" i="7"/>
  <c r="A427" i="7"/>
  <c r="A413" i="7"/>
  <c r="A409" i="7"/>
  <c r="A405" i="7"/>
  <c r="A404" i="7"/>
  <c r="A403" i="7"/>
  <c r="A397" i="7"/>
  <c r="A395" i="7"/>
  <c r="A392" i="7"/>
  <c r="A389" i="7"/>
  <c r="A381" i="7"/>
  <c r="A379" i="7"/>
  <c r="A377" i="7"/>
  <c r="A375" i="7"/>
  <c r="A362" i="7"/>
  <c r="A358" i="7"/>
  <c r="A352" i="7"/>
  <c r="A348" i="7"/>
  <c r="A344" i="7"/>
  <c r="A340" i="7"/>
  <c r="A339" i="7"/>
  <c r="A338" i="7"/>
  <c r="A337" i="7"/>
  <c r="A330" i="7"/>
  <c r="A326" i="7"/>
  <c r="A320" i="7"/>
  <c r="A316" i="7"/>
  <c r="A406" i="7"/>
  <c r="A400" i="7"/>
  <c r="A386" i="7"/>
  <c r="A384" i="7"/>
  <c r="A382" i="7"/>
  <c r="A373" i="7"/>
  <c r="A371" i="7"/>
  <c r="A368" i="7"/>
  <c r="A365" i="7"/>
  <c r="A363" i="7"/>
  <c r="A349" i="7"/>
  <c r="A345" i="7"/>
  <c r="A341" i="7"/>
  <c r="A336" i="7"/>
  <c r="A334" i="7"/>
  <c r="A329" i="7"/>
  <c r="A328" i="7"/>
  <c r="A327" i="7"/>
  <c r="A324" i="7"/>
  <c r="A323" i="7"/>
  <c r="A322" i="7"/>
  <c r="A321" i="7"/>
  <c r="A317" i="7"/>
  <c r="A309" i="7"/>
  <c r="A303" i="7"/>
  <c r="A299" i="7"/>
  <c r="A291" i="7"/>
  <c r="A285" i="7"/>
  <c r="A281" i="7"/>
  <c r="A277" i="7"/>
  <c r="A276" i="7"/>
  <c r="A273" i="7"/>
  <c r="A271" i="7"/>
  <c r="A270" i="7"/>
  <c r="A269" i="7"/>
  <c r="A266" i="7"/>
  <c r="A265" i="7"/>
  <c r="A264" i="7"/>
  <c r="A263" i="7"/>
  <c r="A261" i="7"/>
  <c r="A257" i="7"/>
  <c r="A253" i="7"/>
  <c r="A239" i="7"/>
  <c r="A235" i="7"/>
  <c r="A231" i="7"/>
  <c r="A402" i="7"/>
  <c r="A399" i="7"/>
  <c r="A396" i="7"/>
  <c r="A393" i="7"/>
  <c r="A391" i="7"/>
  <c r="A376" i="7"/>
  <c r="A360" i="7"/>
  <c r="A357" i="7"/>
  <c r="A350" i="7"/>
  <c r="A346" i="7"/>
  <c r="A342" i="7"/>
  <c r="A332" i="7"/>
  <c r="A331" i="7"/>
  <c r="A318" i="7"/>
  <c r="A314" i="7"/>
  <c r="A313" i="7"/>
  <c r="A312" i="7"/>
  <c r="A311" i="7"/>
  <c r="A310" i="7"/>
  <c r="A307" i="7"/>
  <c r="A306" i="7"/>
  <c r="A305" i="7"/>
  <c r="A304" i="7"/>
  <c r="A300" i="7"/>
  <c r="A296" i="7"/>
  <c r="A295" i="7"/>
  <c r="A294" i="7"/>
  <c r="A293" i="7"/>
  <c r="A292" i="7"/>
  <c r="A289" i="7"/>
  <c r="A288" i="7"/>
  <c r="A287" i="7"/>
  <c r="A286" i="7"/>
  <c r="A282" i="7"/>
  <c r="A278" i="7"/>
  <c r="A262" i="7"/>
  <c r="A258" i="7"/>
  <c r="A254" i="7"/>
  <c r="A248" i="7"/>
  <c r="A246" i="7"/>
  <c r="A245" i="7"/>
  <c r="A244" i="7"/>
  <c r="A243" i="7"/>
  <c r="A242" i="7"/>
  <c r="A240" i="7"/>
  <c r="A236" i="7"/>
  <c r="A232" i="7"/>
  <c r="A224" i="7"/>
  <c r="A222" i="7"/>
  <c r="A214" i="7"/>
  <c r="A208" i="7"/>
  <c r="A204" i="7"/>
  <c r="A196" i="7"/>
  <c r="A419" i="7"/>
  <c r="A414" i="7"/>
  <c r="A410" i="7"/>
  <c r="A401" i="7"/>
  <c r="A398" i="7"/>
  <c r="A388" i="7"/>
  <c r="A387" i="7"/>
  <c r="A380" i="7"/>
  <c r="A374" i="7"/>
  <c r="A372" i="7"/>
  <c r="A369" i="7"/>
  <c r="A367" i="7"/>
  <c r="A364" i="7"/>
  <c r="A361" i="7"/>
  <c r="A359" i="7"/>
  <c r="A356" i="7"/>
  <c r="A355" i="7"/>
  <c r="A354" i="7"/>
  <c r="A353" i="7"/>
  <c r="A351" i="7"/>
  <c r="A347" i="7"/>
  <c r="A343" i="7"/>
  <c r="A335" i="7"/>
  <c r="A333" i="7"/>
  <c r="A325" i="7"/>
  <c r="A319" i="7"/>
  <c r="A315" i="7"/>
  <c r="A301" i="7"/>
  <c r="A297" i="7"/>
  <c r="A283" i="7"/>
  <c r="A279" i="7"/>
  <c r="A274" i="7"/>
  <c r="A272" i="7"/>
  <c r="A267" i="7"/>
  <c r="A259" i="7"/>
  <c r="A255" i="7"/>
  <c r="A241" i="7"/>
  <c r="A237" i="7"/>
  <c r="A233" i="7"/>
  <c r="A229" i="7"/>
  <c r="A228" i="7"/>
  <c r="A227" i="7"/>
  <c r="A226" i="7"/>
  <c r="A219" i="7"/>
  <c r="A215" i="7"/>
  <c r="A209" i="7"/>
  <c r="A205" i="7"/>
  <c r="A201" i="7"/>
  <c r="A200" i="7"/>
  <c r="A199" i="7"/>
  <c r="A198" i="7"/>
  <c r="A197" i="7"/>
  <c r="A194" i="7"/>
  <c r="A193" i="7"/>
  <c r="A192" i="7"/>
  <c r="A191" i="7"/>
  <c r="A187" i="7"/>
  <c r="A183" i="7"/>
  <c r="A182" i="7"/>
  <c r="A181" i="7"/>
  <c r="A180" i="7"/>
  <c r="A179" i="7"/>
  <c r="A176" i="7"/>
  <c r="A175" i="7"/>
  <c r="A174" i="7"/>
  <c r="A173" i="7"/>
  <c r="A169" i="7"/>
  <c r="A165" i="7"/>
  <c r="A149" i="7"/>
  <c r="A145" i="7"/>
  <c r="A141" i="7"/>
  <c r="A135" i="7"/>
  <c r="A133" i="7"/>
  <c r="A298" i="7"/>
  <c r="A251" i="7"/>
  <c r="A249" i="7"/>
  <c r="A230" i="7"/>
  <c r="A220" i="7"/>
  <c r="A217" i="7"/>
  <c r="A213" i="7"/>
  <c r="A211" i="7"/>
  <c r="A171" i="7"/>
  <c r="A168" i="7"/>
  <c r="A166" i="7"/>
  <c r="A153" i="7"/>
  <c r="A147" i="7"/>
  <c r="A144" i="7"/>
  <c r="A142" i="7"/>
  <c r="A139" i="7"/>
  <c r="A138" i="7"/>
  <c r="A126" i="7"/>
  <c r="A122" i="7"/>
  <c r="A118" i="7"/>
  <c r="A108" i="7"/>
  <c r="A107" i="7"/>
  <c r="A96" i="7"/>
  <c r="A92" i="7"/>
  <c r="A88" i="7"/>
  <c r="A87" i="7"/>
  <c r="A86" i="7"/>
  <c r="A85" i="7"/>
  <c r="A84" i="7"/>
  <c r="A81" i="7"/>
  <c r="A80" i="7"/>
  <c r="A79" i="7"/>
  <c r="A290" i="7"/>
  <c r="A280" i="7"/>
  <c r="A275" i="7"/>
  <c r="A252" i="7"/>
  <c r="A234" i="7"/>
  <c r="A195" i="7"/>
  <c r="A189" i="7"/>
  <c r="A186" i="7"/>
  <c r="A184" i="7"/>
  <c r="A163" i="7"/>
  <c r="A161" i="7"/>
  <c r="A159" i="7"/>
  <c r="A155" i="7"/>
  <c r="A152" i="7"/>
  <c r="A134" i="7"/>
  <c r="A132" i="7"/>
  <c r="F132" i="7" s="1"/>
  <c r="A131" i="7"/>
  <c r="A130" i="7"/>
  <c r="A129" i="7"/>
  <c r="A127" i="7"/>
  <c r="A123" i="7"/>
  <c r="A119" i="7"/>
  <c r="A111" i="7"/>
  <c r="A109" i="7"/>
  <c r="A102" i="7"/>
  <c r="A100" i="7"/>
  <c r="A99" i="7"/>
  <c r="A98" i="7"/>
  <c r="A97" i="7"/>
  <c r="A308" i="7"/>
  <c r="A302" i="7"/>
  <c r="A284" i="7"/>
  <c r="A256" i="7"/>
  <c r="A250" i="7"/>
  <c r="A238" i="7"/>
  <c r="A225" i="7"/>
  <c r="A218" i="7"/>
  <c r="A216" i="7"/>
  <c r="A212" i="7"/>
  <c r="A210" i="7"/>
  <c r="A207" i="7"/>
  <c r="A203" i="7"/>
  <c r="A177" i="7"/>
  <c r="A172" i="7"/>
  <c r="A170" i="7"/>
  <c r="A167" i="7"/>
  <c r="A164" i="7"/>
  <c r="A154" i="7"/>
  <c r="A151" i="7"/>
  <c r="A148" i="7"/>
  <c r="A146" i="7"/>
  <c r="A143" i="7"/>
  <c r="A140" i="7"/>
  <c r="A136" i="7"/>
  <c r="A128" i="7"/>
  <c r="A124" i="7"/>
  <c r="A120" i="7"/>
  <c r="A116" i="7"/>
  <c r="A115" i="7"/>
  <c r="A114" i="7"/>
  <c r="A113" i="7"/>
  <c r="A106" i="7"/>
  <c r="A94" i="7"/>
  <c r="A90" i="7"/>
  <c r="A82" i="7"/>
  <c r="A76" i="7"/>
  <c r="A72" i="7"/>
  <c r="A64" i="7"/>
  <c r="A58" i="7"/>
  <c r="A54" i="7"/>
  <c r="A49" i="7"/>
  <c r="A42" i="7"/>
  <c r="A34" i="7"/>
  <c r="A30" i="7"/>
  <c r="A26" i="7"/>
  <c r="A25" i="7"/>
  <c r="A24" i="7"/>
  <c r="A23" i="7"/>
  <c r="A21" i="7"/>
  <c r="A268" i="7"/>
  <c r="A260" i="7"/>
  <c r="A247" i="7"/>
  <c r="A223" i="7"/>
  <c r="A221" i="7"/>
  <c r="A206" i="7"/>
  <c r="A202" i="7"/>
  <c r="A190" i="7"/>
  <c r="A188" i="7"/>
  <c r="A185" i="7"/>
  <c r="A178" i="7"/>
  <c r="A162" i="7"/>
  <c r="A160" i="7"/>
  <c r="A158" i="7"/>
  <c r="A157" i="7"/>
  <c r="A156" i="7"/>
  <c r="A150" i="7"/>
  <c r="A137" i="7"/>
  <c r="A125" i="7"/>
  <c r="A121" i="7"/>
  <c r="A117" i="7"/>
  <c r="A112" i="7"/>
  <c r="A110" i="7"/>
  <c r="A105" i="7"/>
  <c r="A104" i="7"/>
  <c r="A103" i="7"/>
  <c r="A101" i="7"/>
  <c r="A95" i="7"/>
  <c r="A91" i="7"/>
  <c r="A83" i="7"/>
  <c r="A77" i="7"/>
  <c r="A73" i="7"/>
  <c r="A65" i="7"/>
  <c r="A5" i="7"/>
  <c r="A9" i="7"/>
  <c r="A13" i="7"/>
  <c r="A19" i="7"/>
  <c r="F19" i="7" s="1"/>
  <c r="K22" i="7"/>
  <c r="A39" i="7"/>
  <c r="F39" i="7" s="1"/>
  <c r="A41" i="7"/>
  <c r="A43" i="7"/>
  <c r="A47" i="7"/>
  <c r="A53" i="7"/>
  <c r="A56" i="7"/>
  <c r="A59" i="7"/>
  <c r="A61" i="7"/>
  <c r="A63" i="7"/>
  <c r="M64" i="7"/>
  <c r="K64" i="7" s="1"/>
  <c r="H64" i="7" s="1"/>
  <c r="A67" i="7"/>
  <c r="A71" i="7"/>
  <c r="A75" i="7"/>
  <c r="A93" i="7"/>
  <c r="A8" i="7"/>
  <c r="A27" i="7"/>
  <c r="A29" i="7"/>
  <c r="A32" i="7"/>
  <c r="A35" i="7"/>
  <c r="A38" i="7"/>
  <c r="A48" i="7"/>
  <c r="A51" i="7"/>
  <c r="A69" i="7"/>
  <c r="A89" i="7"/>
  <c r="A3" i="7"/>
  <c r="A7" i="7"/>
  <c r="F376" i="7" s="1"/>
  <c r="A11" i="7"/>
  <c r="A15" i="7"/>
  <c r="A18" i="7"/>
  <c r="A20" i="7"/>
  <c r="K33" i="7"/>
  <c r="G33" i="7" s="1"/>
  <c r="H33" i="7" s="1"/>
  <c r="A37" i="7"/>
  <c r="A45" i="7"/>
  <c r="A50" i="7"/>
  <c r="A52" i="7"/>
  <c r="E53" i="7"/>
  <c r="A55" i="7"/>
  <c r="A57" i="7"/>
  <c r="A60" i="7"/>
  <c r="A62" i="7"/>
  <c r="A66" i="7"/>
  <c r="A68" i="7"/>
  <c r="E71" i="7"/>
  <c r="E75" i="7"/>
  <c r="K93" i="7"/>
  <c r="G93" i="7" s="1"/>
  <c r="H93" i="7" s="1"/>
  <c r="F131" i="7"/>
  <c r="K140" i="7"/>
  <c r="G140" i="7" s="1"/>
  <c r="H140" i="7" s="1"/>
  <c r="K148" i="7"/>
  <c r="G148" i="7" s="1"/>
  <c r="H148" i="7" s="1"/>
  <c r="O215" i="7"/>
  <c r="I384" i="7"/>
  <c r="K385" i="7" s="1"/>
  <c r="H385" i="7" s="1"/>
  <c r="K386" i="7" s="1"/>
  <c r="H386" i="7" s="1"/>
  <c r="O129" i="7"/>
  <c r="K134" i="7"/>
  <c r="E144" i="7"/>
  <c r="K152" i="7"/>
  <c r="G152" i="7" s="1"/>
  <c r="O155" i="7"/>
  <c r="O152" i="7" s="1"/>
  <c r="O151" i="7"/>
  <c r="E168" i="7"/>
  <c r="K195" i="7"/>
  <c r="H195" i="7" s="1"/>
  <c r="H247" i="7"/>
  <c r="I273" i="7"/>
  <c r="K274" i="7" s="1"/>
  <c r="H274" i="7" s="1"/>
  <c r="K275" i="7" s="1"/>
  <c r="H275" i="7" s="1"/>
  <c r="O374" i="7"/>
  <c r="K214" i="7"/>
  <c r="H214" i="7" s="1"/>
  <c r="O242" i="7"/>
  <c r="C329" i="7"/>
  <c r="E140" i="7"/>
  <c r="E148" i="7"/>
  <c r="K150" i="7"/>
  <c r="G150" i="7" s="1"/>
  <c r="H150" i="7" s="1"/>
  <c r="E164" i="7"/>
  <c r="C218" i="7"/>
  <c r="K190" i="7"/>
  <c r="G190" i="7" s="1"/>
  <c r="H190" i="7" s="1"/>
  <c r="K220" i="7"/>
  <c r="G220" i="7" s="1"/>
  <c r="H220" i="7" s="1"/>
  <c r="H224" i="7"/>
  <c r="F265" i="7"/>
  <c r="O263" i="7"/>
  <c r="O286" i="7"/>
  <c r="O287" i="7"/>
  <c r="O288" i="7"/>
  <c r="M290" i="7"/>
  <c r="K290" i="7" s="1"/>
  <c r="H290" i="7" s="1"/>
  <c r="O304" i="7"/>
  <c r="O305" i="7"/>
  <c r="O306" i="7"/>
  <c r="M308" i="7"/>
  <c r="K308" i="7" s="1"/>
  <c r="H308" i="7" s="1"/>
  <c r="F356" i="7"/>
  <c r="O402" i="7"/>
  <c r="M401" i="7"/>
  <c r="K401" i="7" s="1"/>
  <c r="H401" i="7" s="1"/>
  <c r="O399" i="7"/>
  <c r="O398" i="7"/>
  <c r="O397" i="7"/>
  <c r="I495" i="7"/>
  <c r="K496" i="7" s="1"/>
  <c r="H496" i="7" s="1"/>
  <c r="K497" i="7" s="1"/>
  <c r="H497" i="7" s="1"/>
  <c r="O264" i="7"/>
  <c r="F264" i="7" s="1"/>
  <c r="E369" i="7"/>
  <c r="K389" i="7"/>
  <c r="G389" i="7" s="1"/>
  <c r="H389" i="7" s="1"/>
  <c r="K397" i="7"/>
  <c r="G397" i="7" s="1"/>
  <c r="O353" i="7"/>
  <c r="K356" i="7"/>
  <c r="G356" i="7" s="1"/>
  <c r="K369" i="7"/>
  <c r="G369" i="7" s="1"/>
  <c r="H369" i="7" s="1"/>
  <c r="E393" i="7"/>
  <c r="O415" i="7"/>
  <c r="O416" i="7"/>
  <c r="O417" i="7"/>
  <c r="M419" i="7"/>
  <c r="K419" i="7" s="1"/>
  <c r="H419" i="7" s="1"/>
  <c r="K454" i="7"/>
  <c r="G454" i="7" s="1"/>
  <c r="H454" i="7" s="1"/>
  <c r="K462" i="7"/>
  <c r="G462" i="7" s="1"/>
  <c r="H462" i="7" s="1"/>
  <c r="K465" i="7"/>
  <c r="G465" i="7" s="1"/>
  <c r="H465" i="7" s="1"/>
  <c r="E476" i="7"/>
  <c r="E480" i="7"/>
  <c r="K487" i="7"/>
  <c r="G487" i="7" s="1"/>
  <c r="E504" i="7"/>
  <c r="K486" i="7"/>
  <c r="G486" i="7" s="1"/>
  <c r="K458" i="7"/>
  <c r="G458" i="7" s="1"/>
  <c r="H458" i="7" s="1"/>
  <c r="F467" i="7"/>
  <c r="O464" i="7"/>
  <c r="K475" i="7"/>
  <c r="G475" i="7" s="1"/>
  <c r="H475" i="7" s="1"/>
  <c r="K479" i="7"/>
  <c r="G479" i="7" s="1"/>
  <c r="H479" i="7" s="1"/>
  <c r="K483" i="7"/>
  <c r="G483" i="7" s="1"/>
  <c r="H483" i="7" s="1"/>
  <c r="K485" i="7"/>
  <c r="G485" i="7" s="1"/>
  <c r="H485" i="7" s="1"/>
  <c r="O490" i="7"/>
  <c r="O487" i="7" s="1"/>
  <c r="O486" i="7"/>
  <c r="F486" i="7" s="1"/>
  <c r="K503" i="7"/>
  <c r="G503" i="7" s="1"/>
  <c r="H503" i="7" s="1"/>
  <c r="K507" i="7"/>
  <c r="G507" i="7" s="1"/>
  <c r="H507" i="7" s="1"/>
  <c r="O508" i="7"/>
  <c r="O509" i="7"/>
  <c r="O510" i="7"/>
  <c r="M512" i="7"/>
  <c r="K512" i="7" s="1"/>
  <c r="H512" i="7" s="1"/>
  <c r="C553" i="7"/>
  <c r="K549" i="7"/>
  <c r="H549" i="7" s="1"/>
  <c r="K566" i="7"/>
  <c r="G566" i="7" s="1"/>
  <c r="H566" i="7" s="1"/>
  <c r="K570" i="7"/>
  <c r="G570" i="7" s="1"/>
  <c r="H570" i="7" s="1"/>
  <c r="K574" i="7"/>
  <c r="G574" i="7" s="1"/>
  <c r="H574" i="7" s="1"/>
  <c r="K582" i="7"/>
  <c r="K599" i="7"/>
  <c r="G599" i="7" s="1"/>
  <c r="K556" i="7"/>
  <c r="G556" i="7" s="1"/>
  <c r="H556" i="7" s="1"/>
  <c r="H558" i="7"/>
  <c r="K598" i="7"/>
  <c r="G598" i="7" s="1"/>
  <c r="H598" i="7" s="1"/>
  <c r="K600" i="7"/>
  <c r="G600" i="7" s="1"/>
  <c r="O603" i="7"/>
  <c r="O600" i="7" s="1"/>
  <c r="O599" i="7"/>
  <c r="F599" i="7" s="1"/>
  <c r="I608" i="7"/>
  <c r="K609" i="7" s="1"/>
  <c r="H609" i="7" s="1"/>
  <c r="K610" i="7" s="1"/>
  <c r="H610" i="7" s="1"/>
  <c r="F580" i="7"/>
  <c r="O577" i="7"/>
  <c r="C664" i="7"/>
  <c r="K639" i="7"/>
  <c r="G639" i="7" s="1"/>
  <c r="E649" i="7"/>
  <c r="O658" i="7"/>
  <c r="K677" i="7"/>
  <c r="G677" i="7" s="1"/>
  <c r="H677" i="7" s="1"/>
  <c r="K685" i="7"/>
  <c r="G685" i="7" s="1"/>
  <c r="H685" i="7" s="1"/>
  <c r="F711" i="7"/>
  <c r="O709" i="7"/>
  <c r="I719" i="7"/>
  <c r="K720" i="7" s="1"/>
  <c r="H720" i="7" s="1"/>
  <c r="K721" i="7" s="1"/>
  <c r="H721" i="7" s="1"/>
  <c r="G717" i="7" s="1"/>
  <c r="O621" i="7"/>
  <c r="O622" i="7"/>
  <c r="O623" i="7"/>
  <c r="M625" i="7"/>
  <c r="K625" i="7" s="1"/>
  <c r="H625" i="7" s="1"/>
  <c r="E635" i="7"/>
  <c r="F691" i="7"/>
  <c r="O688" i="7"/>
  <c r="E636" i="7"/>
  <c r="O644" i="7"/>
  <c r="M643" i="7"/>
  <c r="K643" i="7" s="1"/>
  <c r="H643" i="7" s="1"/>
  <c r="O641" i="7"/>
  <c r="O640" i="7"/>
  <c r="O639" i="7"/>
  <c r="E653" i="7"/>
  <c r="K648" i="7"/>
  <c r="G648" i="7" s="1"/>
  <c r="H648" i="7" s="1"/>
  <c r="K653" i="7"/>
  <c r="G653" i="7" s="1"/>
  <c r="H653" i="7" s="1"/>
  <c r="K733" i="7"/>
  <c r="G733" i="7" s="1"/>
  <c r="K742" i="7"/>
  <c r="G742" i="7" s="1"/>
  <c r="H742" i="7" s="1"/>
  <c r="C775" i="7"/>
  <c r="O755" i="7"/>
  <c r="M754" i="7"/>
  <c r="K754" i="7" s="1"/>
  <c r="H754" i="7" s="1"/>
  <c r="O752" i="7"/>
  <c r="O751" i="7"/>
  <c r="H751" i="7" s="1"/>
  <c r="O750" i="7"/>
  <c r="H781" i="7"/>
  <c r="H693" i="7"/>
  <c r="O737" i="7"/>
  <c r="M736" i="7"/>
  <c r="K736" i="7" s="1"/>
  <c r="H736" i="7" s="1"/>
  <c r="O734" i="7"/>
  <c r="O733" i="7"/>
  <c r="O732" i="7"/>
  <c r="E746" i="7"/>
  <c r="O710" i="7"/>
  <c r="F710" i="7" s="1"/>
  <c r="K741" i="7"/>
  <c r="G741" i="7" s="1"/>
  <c r="H741" i="7" s="1"/>
  <c r="K746" i="7"/>
  <c r="G746" i="7" s="1"/>
  <c r="H746" i="7" s="1"/>
  <c r="K771" i="7"/>
  <c r="H771" i="7" s="1"/>
  <c r="I830" i="7"/>
  <c r="K831" i="7" s="1"/>
  <c r="H831" i="7" s="1"/>
  <c r="K832" i="7" s="1"/>
  <c r="H832" i="7" s="1"/>
  <c r="H780" i="7"/>
  <c r="H804" i="7"/>
  <c r="K804" i="7"/>
  <c r="E810" i="7"/>
  <c r="H782" i="7"/>
  <c r="G786" i="7"/>
  <c r="H786" i="7" s="1"/>
  <c r="G790" i="7"/>
  <c r="H790" i="7" s="1"/>
  <c r="G794" i="7"/>
  <c r="H794" i="7" s="1"/>
  <c r="F802" i="7"/>
  <c r="O799" i="7"/>
  <c r="G800" i="7"/>
  <c r="H800" i="7" s="1"/>
  <c r="G811" i="7"/>
  <c r="H811" i="7" s="1"/>
  <c r="E814" i="7"/>
  <c r="F822" i="7"/>
  <c r="O820" i="7"/>
  <c r="O821" i="7"/>
  <c r="F821" i="7" s="1"/>
  <c r="K838" i="7"/>
  <c r="G838" i="7" s="1"/>
  <c r="H838" i="7" s="1"/>
  <c r="K842" i="7"/>
  <c r="G842" i="7" s="1"/>
  <c r="H842" i="7" s="1"/>
  <c r="G845" i="7"/>
  <c r="C886" i="7"/>
  <c r="E852" i="7"/>
  <c r="G870" i="7"/>
  <c r="H870" i="7" s="1"/>
  <c r="O843" i="7"/>
  <c r="O844" i="7"/>
  <c r="O845" i="7"/>
  <c r="M847" i="7"/>
  <c r="K847" i="7" s="1"/>
  <c r="H847" i="7" s="1"/>
  <c r="O861" i="7"/>
  <c r="O862" i="7"/>
  <c r="O863" i="7"/>
  <c r="M865" i="7"/>
  <c r="K865" i="7" s="1"/>
  <c r="H865" i="7" s="1"/>
  <c r="O878" i="7"/>
  <c r="H878" i="7" s="1"/>
  <c r="O879" i="7"/>
  <c r="O880" i="7"/>
  <c r="H880" i="7" s="1"/>
  <c r="M882" i="7"/>
  <c r="K882" i="7" s="1"/>
  <c r="H882" i="7" s="1"/>
  <c r="H750" i="7" l="1"/>
  <c r="H508" i="7"/>
  <c r="H822" i="7"/>
  <c r="I890" i="7"/>
  <c r="K894" i="7" s="1"/>
  <c r="H894" i="7" s="1"/>
  <c r="K895" i="7" s="1"/>
  <c r="H895" i="7" s="1"/>
  <c r="H623" i="7"/>
  <c r="I668" i="7"/>
  <c r="K672" i="7" s="1"/>
  <c r="H672" i="7" s="1"/>
  <c r="K673" i="7" s="1"/>
  <c r="H673" i="7" s="1"/>
  <c r="H767" i="7"/>
  <c r="H657" i="7"/>
  <c r="I779" i="7"/>
  <c r="K783" i="7" s="1"/>
  <c r="H783" i="7" s="1"/>
  <c r="K784" i="7" s="1"/>
  <c r="H784" i="7" s="1"/>
  <c r="H734" i="7"/>
  <c r="H622" i="7"/>
  <c r="E597" i="7"/>
  <c r="H879" i="7"/>
  <c r="I881" i="7" s="1"/>
  <c r="H862" i="7"/>
  <c r="H621" i="7"/>
  <c r="H711" i="7"/>
  <c r="H80" i="7"/>
  <c r="K576" i="7"/>
  <c r="G576" i="7" s="1"/>
  <c r="I444" i="7"/>
  <c r="K448" i="7" s="1"/>
  <c r="H448" i="7" s="1"/>
  <c r="K449" i="7" s="1"/>
  <c r="H449" i="7" s="1"/>
  <c r="H658" i="7"/>
  <c r="H710" i="7"/>
  <c r="H641" i="7"/>
  <c r="K262" i="7"/>
  <c r="G262" i="7" s="1"/>
  <c r="K463" i="7"/>
  <c r="G463" i="7" s="1"/>
  <c r="E15" i="7"/>
  <c r="H415" i="7"/>
  <c r="E798" i="7"/>
  <c r="E352" i="7"/>
  <c r="H768" i="7"/>
  <c r="H398" i="7"/>
  <c r="H61" i="7"/>
  <c r="E373" i="7"/>
  <c r="H752" i="7"/>
  <c r="I753" i="7" s="1"/>
  <c r="H861" i="7"/>
  <c r="K241" i="7"/>
  <c r="G241" i="7" s="1"/>
  <c r="H843" i="7"/>
  <c r="K128" i="7"/>
  <c r="G128" i="7" s="1"/>
  <c r="K373" i="7"/>
  <c r="G373" i="7" s="1"/>
  <c r="H640" i="7"/>
  <c r="K484" i="7"/>
  <c r="G484" i="7" s="1"/>
  <c r="E576" i="7"/>
  <c r="H769" i="7"/>
  <c r="E708" i="7"/>
  <c r="H78" i="7"/>
  <c r="I109" i="7"/>
  <c r="K113" i="7" s="1"/>
  <c r="H113" i="7" s="1"/>
  <c r="E484" i="7"/>
  <c r="K149" i="7"/>
  <c r="G149" i="7" s="1"/>
  <c r="E687" i="7"/>
  <c r="K597" i="7"/>
  <c r="G597" i="7" s="1"/>
  <c r="K819" i="7"/>
  <c r="G819" i="7" s="1"/>
  <c r="K798" i="7"/>
  <c r="G798" i="7" s="1"/>
  <c r="H19" i="7"/>
  <c r="K708" i="7"/>
  <c r="G708" i="7" s="1"/>
  <c r="H304" i="7"/>
  <c r="H39" i="7"/>
  <c r="H580" i="7"/>
  <c r="H802" i="7"/>
  <c r="K36" i="7"/>
  <c r="G36" i="7" s="1"/>
  <c r="H732" i="7"/>
  <c r="I333" i="7"/>
  <c r="K337" i="7" s="1"/>
  <c r="H337" i="7" s="1"/>
  <c r="H399" i="7"/>
  <c r="H287" i="7"/>
  <c r="H417" i="7"/>
  <c r="G382" i="7"/>
  <c r="H306" i="7"/>
  <c r="H467" i="7"/>
  <c r="H265" i="7"/>
  <c r="H376" i="7"/>
  <c r="H844" i="7"/>
  <c r="I222" i="7"/>
  <c r="K226" i="7" s="1"/>
  <c r="H226" i="7" s="1"/>
  <c r="K227" i="7" s="1"/>
  <c r="H227" i="7" s="1"/>
  <c r="H863" i="7"/>
  <c r="G828" i="7"/>
  <c r="H639" i="7"/>
  <c r="H356" i="7"/>
  <c r="H845" i="7"/>
  <c r="H486" i="7"/>
  <c r="H397" i="7"/>
  <c r="G493" i="7"/>
  <c r="H305" i="7"/>
  <c r="G271" i="7"/>
  <c r="H509" i="7"/>
  <c r="H416" i="7"/>
  <c r="H286" i="7"/>
  <c r="I557" i="7"/>
  <c r="K561" i="7" s="1"/>
  <c r="H561" i="7" s="1"/>
  <c r="K562" i="7" s="1"/>
  <c r="H562" i="7" s="1"/>
  <c r="E463" i="7"/>
  <c r="H510" i="7"/>
  <c r="H132" i="7"/>
  <c r="H288" i="7"/>
  <c r="F245" i="7"/>
  <c r="H245" i="7" s="1"/>
  <c r="F151" i="7"/>
  <c r="H212" i="7"/>
  <c r="M65" i="7"/>
  <c r="K65" i="7" s="1"/>
  <c r="H65" i="7" s="1"/>
  <c r="M268" i="7"/>
  <c r="M42" i="7"/>
  <c r="M154" i="7"/>
  <c r="F98" i="7"/>
  <c r="H98" i="7" s="1"/>
  <c r="H79" i="7"/>
  <c r="F211" i="7"/>
  <c r="H211" i="7" s="1"/>
  <c r="H174" i="7"/>
  <c r="M215" i="7"/>
  <c r="K215" i="7" s="1"/>
  <c r="H215" i="7" s="1"/>
  <c r="F355" i="7"/>
  <c r="F244" i="7"/>
  <c r="M291" i="7"/>
  <c r="K291" i="7" s="1"/>
  <c r="H291" i="7" s="1"/>
  <c r="F375" i="7"/>
  <c r="F466" i="7"/>
  <c r="F546" i="7"/>
  <c r="H546" i="7" s="1"/>
  <c r="H527" i="7"/>
  <c r="M602" i="7"/>
  <c r="M713" i="7"/>
  <c r="F690" i="7"/>
  <c r="M772" i="7"/>
  <c r="K772" i="7" s="1"/>
  <c r="H772" i="7" s="1"/>
  <c r="M825" i="7"/>
  <c r="M848" i="7"/>
  <c r="K848" i="7" s="1"/>
  <c r="H848" i="7" s="1"/>
  <c r="H60" i="7"/>
  <c r="F819" i="7"/>
  <c r="H821" i="7"/>
  <c r="G606" i="7"/>
  <c r="F262" i="7"/>
  <c r="H264" i="7"/>
  <c r="F152" i="7"/>
  <c r="H152" i="7" s="1"/>
  <c r="O150" i="7"/>
  <c r="H193" i="7"/>
  <c r="O110" i="7"/>
  <c r="H99" i="7"/>
  <c r="H175" i="7"/>
  <c r="M196" i="7"/>
  <c r="K196" i="7" s="1"/>
  <c r="H196" i="7" s="1"/>
  <c r="M402" i="7"/>
  <c r="K402" i="7" s="1"/>
  <c r="H402" i="7" s="1"/>
  <c r="H321" i="7"/>
  <c r="M326" i="7"/>
  <c r="K326" i="7" s="1"/>
  <c r="H326" i="7" s="1"/>
  <c r="M378" i="7"/>
  <c r="H432" i="7"/>
  <c r="H547" i="7"/>
  <c r="H528" i="7"/>
  <c r="M531" i="7"/>
  <c r="K531" i="7" s="1"/>
  <c r="H531" i="7" s="1"/>
  <c r="M603" i="7"/>
  <c r="M550" i="7"/>
  <c r="K550" i="7" s="1"/>
  <c r="H550" i="7" s="1"/>
  <c r="O669" i="7"/>
  <c r="M714" i="7"/>
  <c r="M661" i="7"/>
  <c r="K661" i="7" s="1"/>
  <c r="H661" i="7" s="1"/>
  <c r="M866" i="7"/>
  <c r="K866" i="7" s="1"/>
  <c r="H866" i="7" s="1"/>
  <c r="O891" i="7"/>
  <c r="E819" i="7"/>
  <c r="K687" i="7"/>
  <c r="G687" i="7" s="1"/>
  <c r="H733" i="7"/>
  <c r="H691" i="7"/>
  <c r="H599" i="7"/>
  <c r="H192" i="7"/>
  <c r="F128" i="7"/>
  <c r="F210" i="7"/>
  <c r="H210" i="7" s="1"/>
  <c r="M178" i="7"/>
  <c r="K178" i="7" s="1"/>
  <c r="H178" i="7" s="1"/>
  <c r="H322" i="7"/>
  <c r="M379" i="7"/>
  <c r="M513" i="7"/>
  <c r="K513" i="7" s="1"/>
  <c r="H513" i="7" s="1"/>
  <c r="H433" i="7"/>
  <c r="M489" i="7"/>
  <c r="H656" i="7"/>
  <c r="M626" i="7"/>
  <c r="K626" i="7" s="1"/>
  <c r="H626" i="7" s="1"/>
  <c r="M755" i="7"/>
  <c r="K755" i="7" s="1"/>
  <c r="H755" i="7" s="1"/>
  <c r="O780" i="7"/>
  <c r="F801" i="7"/>
  <c r="F798" i="7" s="1"/>
  <c r="I47" i="7"/>
  <c r="K48" i="7" s="1"/>
  <c r="H48" i="7" s="1"/>
  <c r="K49" i="7" s="1"/>
  <c r="H49" i="7" s="1"/>
  <c r="F38" i="7"/>
  <c r="F708" i="7"/>
  <c r="F600" i="7"/>
  <c r="H600" i="7" s="1"/>
  <c r="O598" i="7"/>
  <c r="F487" i="7"/>
  <c r="F484" i="7" s="1"/>
  <c r="O485" i="7"/>
  <c r="E262" i="7"/>
  <c r="H131" i="7"/>
  <c r="H191" i="7"/>
  <c r="M41" i="7"/>
  <c r="M83" i="7"/>
  <c r="K83" i="7" s="1"/>
  <c r="H83" i="7" s="1"/>
  <c r="O223" i="7"/>
  <c r="F97" i="7"/>
  <c r="H97" i="7" s="1"/>
  <c r="M102" i="7"/>
  <c r="K102" i="7" s="1"/>
  <c r="H102" i="7" s="1"/>
  <c r="M155" i="7"/>
  <c r="H173" i="7"/>
  <c r="M267" i="7"/>
  <c r="M309" i="7"/>
  <c r="K309" i="7" s="1"/>
  <c r="H309" i="7" s="1"/>
  <c r="H323" i="7"/>
  <c r="O334" i="7"/>
  <c r="M437" i="7"/>
  <c r="K437" i="7" s="1"/>
  <c r="H437" i="7" s="1"/>
  <c r="M490" i="7"/>
  <c r="M420" i="7"/>
  <c r="K420" i="7" s="1"/>
  <c r="H420" i="7" s="1"/>
  <c r="H434" i="7"/>
  <c r="O445" i="7"/>
  <c r="F545" i="7"/>
  <c r="H545" i="7" s="1"/>
  <c r="H526" i="7"/>
  <c r="O558" i="7"/>
  <c r="F579" i="7"/>
  <c r="F576" i="7" s="1"/>
  <c r="M644" i="7"/>
  <c r="K644" i="7" s="1"/>
  <c r="H644" i="7" s="1"/>
  <c r="M737" i="7"/>
  <c r="K737" i="7" s="1"/>
  <c r="H737" i="7" s="1"/>
  <c r="M824" i="7"/>
  <c r="M883" i="7"/>
  <c r="K883" i="7" s="1"/>
  <c r="H883" i="7" s="1"/>
  <c r="G158" i="7"/>
  <c r="H62" i="7"/>
  <c r="F18" i="7"/>
  <c r="G664" i="7" l="1"/>
  <c r="I624" i="7"/>
  <c r="K627" i="7" s="1"/>
  <c r="H627" i="7" s="1"/>
  <c r="K628" i="7" s="1"/>
  <c r="H628" i="7" s="1"/>
  <c r="H576" i="7"/>
  <c r="I864" i="7"/>
  <c r="K867" i="7" s="1"/>
  <c r="H867" i="7" s="1"/>
  <c r="K868" i="7" s="1"/>
  <c r="H868" i="7" s="1"/>
  <c r="H819" i="7"/>
  <c r="H708" i="7"/>
  <c r="I712" i="7" s="1"/>
  <c r="H484" i="7"/>
  <c r="I81" i="7"/>
  <c r="K84" i="7" s="1"/>
  <c r="H84" i="7" s="1"/>
  <c r="K85" i="7" s="1"/>
  <c r="H85" i="7" s="1"/>
  <c r="H262" i="7"/>
  <c r="I266" i="7" s="1"/>
  <c r="G886" i="7"/>
  <c r="G440" i="7"/>
  <c r="I642" i="7"/>
  <c r="K645" i="7" s="1"/>
  <c r="H645" i="7" s="1"/>
  <c r="K646" i="7" s="1"/>
  <c r="H646" i="7" s="1"/>
  <c r="G629" i="7" s="1"/>
  <c r="I770" i="7"/>
  <c r="K773" i="7" s="1"/>
  <c r="H773" i="7" s="1"/>
  <c r="K774" i="7" s="1"/>
  <c r="H774" i="7" s="1"/>
  <c r="H798" i="7"/>
  <c r="I659" i="7"/>
  <c r="K662" i="7" s="1"/>
  <c r="H662" i="7" s="1"/>
  <c r="K663" i="7" s="1"/>
  <c r="H663" i="7" s="1"/>
  <c r="H128" i="7"/>
  <c r="I133" i="7" s="1"/>
  <c r="K136" i="7" s="1"/>
  <c r="H136" i="7" s="1"/>
  <c r="K137" i="7" s="1"/>
  <c r="H137" i="7" s="1"/>
  <c r="G115" i="7" s="1"/>
  <c r="K114" i="7"/>
  <c r="H114" i="7" s="1"/>
  <c r="G105" i="7" s="1"/>
  <c r="I418" i="7"/>
  <c r="K421" i="7" s="1"/>
  <c r="H421" i="7" s="1"/>
  <c r="I400" i="7"/>
  <c r="K403" i="7" s="1"/>
  <c r="H403" i="7" s="1"/>
  <c r="G218" i="7"/>
  <c r="I823" i="7"/>
  <c r="K338" i="7"/>
  <c r="H338" i="7" s="1"/>
  <c r="G329" i="7" s="1"/>
  <c r="I846" i="7"/>
  <c r="K849" i="7" s="1"/>
  <c r="H849" i="7" s="1"/>
  <c r="K850" i="7" s="1"/>
  <c r="H850" i="7" s="1"/>
  <c r="I307" i="7"/>
  <c r="K310" i="7" s="1"/>
  <c r="H310" i="7" s="1"/>
  <c r="I213" i="7"/>
  <c r="K216" i="7" s="1"/>
  <c r="H216" i="7" s="1"/>
  <c r="K217" i="7" s="1"/>
  <c r="H217" i="7" s="1"/>
  <c r="I511" i="7"/>
  <c r="K514" i="7" s="1"/>
  <c r="H514" i="7" s="1"/>
  <c r="I435" i="7"/>
  <c r="K438" i="7" s="1"/>
  <c r="H438" i="7" s="1"/>
  <c r="K439" i="7" s="1"/>
  <c r="H439" i="7" s="1"/>
  <c r="G553" i="7"/>
  <c r="I63" i="7"/>
  <c r="K66" i="7" s="1"/>
  <c r="H66" i="7" s="1"/>
  <c r="K67" i="7" s="1"/>
  <c r="H67" i="7" s="1"/>
  <c r="I324" i="7"/>
  <c r="K327" i="7" s="1"/>
  <c r="H327" i="7" s="1"/>
  <c r="K328" i="7" s="1"/>
  <c r="H328" i="7" s="1"/>
  <c r="I529" i="7"/>
  <c r="K532" i="7" s="1"/>
  <c r="H532" i="7" s="1"/>
  <c r="K533" i="7" s="1"/>
  <c r="H533" i="7" s="1"/>
  <c r="I194" i="7"/>
  <c r="K197" i="7" s="1"/>
  <c r="H197" i="7" s="1"/>
  <c r="K198" i="7" s="1"/>
  <c r="H198" i="7" s="1"/>
  <c r="I176" i="7"/>
  <c r="K179" i="7" s="1"/>
  <c r="H179" i="7" s="1"/>
  <c r="K180" i="7" s="1"/>
  <c r="H180" i="7" s="1"/>
  <c r="O441" i="7"/>
  <c r="O446" i="7"/>
  <c r="O442" i="7"/>
  <c r="O443" i="7"/>
  <c r="K267" i="7"/>
  <c r="H267" i="7"/>
  <c r="I100" i="7"/>
  <c r="K103" i="7" s="1"/>
  <c r="H103" i="7" s="1"/>
  <c r="K104" i="7" s="1"/>
  <c r="H104" i="7" s="1"/>
  <c r="F15" i="7"/>
  <c r="H15" i="7" s="1"/>
  <c r="H18" i="7"/>
  <c r="K379" i="7"/>
  <c r="H379" i="7"/>
  <c r="H579" i="7"/>
  <c r="I735" i="7"/>
  <c r="K738" i="7" s="1"/>
  <c r="H738" i="7" s="1"/>
  <c r="K739" i="7" s="1"/>
  <c r="H739" i="7" s="1"/>
  <c r="H155" i="7"/>
  <c r="K155" i="7"/>
  <c r="F36" i="7"/>
  <c r="H36" i="7" s="1"/>
  <c r="H38" i="7"/>
  <c r="O781" i="7"/>
  <c r="O776" i="7"/>
  <c r="O777" i="7"/>
  <c r="O778" i="7"/>
  <c r="K489" i="7"/>
  <c r="H489" i="7"/>
  <c r="H487" i="7"/>
  <c r="K714" i="7"/>
  <c r="H714" i="7"/>
  <c r="K378" i="7"/>
  <c r="H378" i="7"/>
  <c r="F687" i="7"/>
  <c r="H687" i="7" s="1"/>
  <c r="H690" i="7"/>
  <c r="F241" i="7"/>
  <c r="H241" i="7" s="1"/>
  <c r="H244" i="7"/>
  <c r="K42" i="7"/>
  <c r="H42" i="7"/>
  <c r="K824" i="7"/>
  <c r="H824" i="7"/>
  <c r="O556" i="7"/>
  <c r="O559" i="7"/>
  <c r="O555" i="7"/>
  <c r="O554" i="7"/>
  <c r="O332" i="7"/>
  <c r="O330" i="7"/>
  <c r="O335" i="7"/>
  <c r="O331" i="7"/>
  <c r="O224" i="7"/>
  <c r="O220" i="7"/>
  <c r="O221" i="7"/>
  <c r="O219" i="7"/>
  <c r="I548" i="7"/>
  <c r="K551" i="7" s="1"/>
  <c r="H551" i="7" s="1"/>
  <c r="K552" i="7" s="1"/>
  <c r="H552" i="7" s="1"/>
  <c r="K490" i="7"/>
  <c r="H490" i="7"/>
  <c r="K41" i="7"/>
  <c r="H41" i="7"/>
  <c r="G45" i="7"/>
  <c r="F597" i="7"/>
  <c r="H597" i="7" s="1"/>
  <c r="H801" i="7"/>
  <c r="O887" i="7"/>
  <c r="O892" i="7"/>
  <c r="O888" i="7"/>
  <c r="O889" i="7"/>
  <c r="O666" i="7"/>
  <c r="O667" i="7"/>
  <c r="O670" i="7"/>
  <c r="O665" i="7"/>
  <c r="K713" i="7"/>
  <c r="H713" i="7"/>
  <c r="F463" i="7"/>
  <c r="H463" i="7" s="1"/>
  <c r="H466" i="7"/>
  <c r="F352" i="7"/>
  <c r="H352" i="7" s="1"/>
  <c r="H355" i="7"/>
  <c r="K268" i="7"/>
  <c r="H268" i="7"/>
  <c r="G775" i="7"/>
  <c r="H825" i="7"/>
  <c r="K825" i="7"/>
  <c r="K602" i="7"/>
  <c r="H602" i="7"/>
  <c r="F373" i="7"/>
  <c r="H373" i="7" s="1"/>
  <c r="H375" i="7"/>
  <c r="I289" i="7"/>
  <c r="K292" i="7" s="1"/>
  <c r="H292" i="7" s="1"/>
  <c r="K293" i="7" s="1"/>
  <c r="H293" i="7" s="1"/>
  <c r="K603" i="7"/>
  <c r="H603" i="7"/>
  <c r="O111" i="7"/>
  <c r="O107" i="7"/>
  <c r="O108" i="7"/>
  <c r="O106" i="7"/>
  <c r="K884" i="7"/>
  <c r="H884" i="7" s="1"/>
  <c r="K885" i="7" s="1"/>
  <c r="H885" i="7" s="1"/>
  <c r="K154" i="7"/>
  <c r="H154" i="7"/>
  <c r="F149" i="7"/>
  <c r="H149" i="7" s="1"/>
  <c r="H151" i="7"/>
  <c r="K756" i="7"/>
  <c r="H756" i="7" s="1"/>
  <c r="K757" i="7" s="1"/>
  <c r="H757" i="7" s="1"/>
  <c r="I581" i="7" l="1"/>
  <c r="K584" i="7" s="1"/>
  <c r="H584" i="7" s="1"/>
  <c r="K585" i="7" s="1"/>
  <c r="H585" i="7" s="1"/>
  <c r="G647" i="7"/>
  <c r="G758" i="7"/>
  <c r="G199" i="7"/>
  <c r="G50" i="7"/>
  <c r="K515" i="7"/>
  <c r="H515" i="7" s="1"/>
  <c r="G498" i="7" s="1"/>
  <c r="K826" i="7"/>
  <c r="H826" i="7" s="1"/>
  <c r="K827" i="7" s="1"/>
  <c r="H827" i="7" s="1"/>
  <c r="G808" i="7" s="1"/>
  <c r="G86" i="7"/>
  <c r="G68" i="7"/>
  <c r="G534" i="7"/>
  <c r="I692" i="7"/>
  <c r="K695" i="7" s="1"/>
  <c r="H695" i="7" s="1"/>
  <c r="K696" i="7" s="1"/>
  <c r="H696" i="7" s="1"/>
  <c r="I377" i="7"/>
  <c r="K380" i="7" s="1"/>
  <c r="H380" i="7" s="1"/>
  <c r="K381" i="7" s="1"/>
  <c r="H381" i="7" s="1"/>
  <c r="I20" i="7"/>
  <c r="K23" i="7" s="1"/>
  <c r="H23" i="7" s="1"/>
  <c r="K24" i="7" s="1"/>
  <c r="H24" i="7" s="1"/>
  <c r="I803" i="7"/>
  <c r="K806" i="7" s="1"/>
  <c r="H806" i="7" s="1"/>
  <c r="K807" i="7" s="1"/>
  <c r="H807" i="7" s="1"/>
  <c r="G163" i="7"/>
  <c r="K715" i="7"/>
  <c r="H715" i="7" s="1"/>
  <c r="K716" i="7" s="1"/>
  <c r="H716" i="7" s="1"/>
  <c r="G563" i="7"/>
  <c r="G516" i="7"/>
  <c r="G312" i="7"/>
  <c r="I357" i="7"/>
  <c r="K360" i="7" s="1"/>
  <c r="H360" i="7" s="1"/>
  <c r="K361" i="7" s="1"/>
  <c r="H361" i="7" s="1"/>
  <c r="K269" i="7"/>
  <c r="H269" i="7" s="1"/>
  <c r="K270" i="7" s="1"/>
  <c r="H270" i="7" s="1"/>
  <c r="G251" i="7" s="1"/>
  <c r="G740" i="7"/>
  <c r="K404" i="7"/>
  <c r="H404" i="7" s="1"/>
  <c r="G387" i="7" s="1"/>
  <c r="K311" i="7"/>
  <c r="H311" i="7" s="1"/>
  <c r="G294" i="7" s="1"/>
  <c r="G722" i="7"/>
  <c r="I488" i="7"/>
  <c r="K491" i="7" s="1"/>
  <c r="H491" i="7" s="1"/>
  <c r="K492" i="7" s="1"/>
  <c r="H492" i="7" s="1"/>
  <c r="G473" i="7" s="1"/>
  <c r="G423" i="7"/>
  <c r="G869" i="7"/>
  <c r="G851" i="7"/>
  <c r="I153" i="7"/>
  <c r="K156" i="7" s="1"/>
  <c r="H156" i="7" s="1"/>
  <c r="K157" i="7" s="1"/>
  <c r="H157" i="7" s="1"/>
  <c r="I468" i="7"/>
  <c r="K471" i="7" s="1"/>
  <c r="H471" i="7" s="1"/>
  <c r="K472" i="7" s="1"/>
  <c r="H472" i="7" s="1"/>
  <c r="I601" i="7"/>
  <c r="K604" i="7" s="1"/>
  <c r="H604" i="7" s="1"/>
  <c r="K605" i="7" s="1"/>
  <c r="H605" i="7" s="1"/>
  <c r="K422" i="7"/>
  <c r="H422" i="7" s="1"/>
  <c r="G405" i="7" s="1"/>
  <c r="I246" i="7"/>
  <c r="K249" i="7" s="1"/>
  <c r="H249" i="7" s="1"/>
  <c r="K250" i="7" s="1"/>
  <c r="H250" i="7" s="1"/>
  <c r="I40" i="7"/>
  <c r="K43" i="7" s="1"/>
  <c r="H43" i="7" s="1"/>
  <c r="K44" i="7" s="1"/>
  <c r="H44" i="7" s="1"/>
  <c r="G833" i="7"/>
  <c r="G611" i="7"/>
  <c r="G181" i="7"/>
  <c r="G276" i="7"/>
  <c r="G362" i="7" l="1"/>
  <c r="G697" i="7"/>
  <c r="G228" i="7"/>
  <c r="G339" i="7"/>
  <c r="G674" i="7"/>
  <c r="G586" i="7"/>
  <c r="G785" i="7"/>
  <c r="G138" i="7"/>
  <c r="G25" i="7"/>
  <c r="G450" i="7"/>
  <c r="G2" i="7"/>
  <c r="O590" i="31" l="1"/>
  <c r="N590" i="31"/>
  <c r="O589" i="31"/>
  <c r="N589" i="31"/>
  <c r="O588" i="31"/>
  <c r="N588" i="31"/>
  <c r="O587" i="31"/>
  <c r="N587" i="31"/>
  <c r="C587" i="31"/>
  <c r="O586" i="31"/>
  <c r="N586" i="31"/>
  <c r="C586" i="31"/>
  <c r="O585" i="31"/>
  <c r="N585" i="31"/>
  <c r="C585" i="31"/>
  <c r="O584" i="31"/>
  <c r="N584" i="31"/>
  <c r="C584" i="31"/>
  <c r="O583" i="31"/>
  <c r="N583" i="31"/>
  <c r="C583" i="31"/>
  <c r="O582" i="31"/>
  <c r="N582" i="31"/>
  <c r="C582" i="31"/>
  <c r="O581" i="31"/>
  <c r="N581" i="31"/>
  <c r="C581" i="31"/>
  <c r="O580" i="31"/>
  <c r="N580" i="31"/>
  <c r="C580" i="31"/>
  <c r="O579" i="31"/>
  <c r="N579" i="31"/>
  <c r="C579" i="31"/>
  <c r="O578" i="31"/>
  <c r="N578" i="31"/>
  <c r="C578" i="31"/>
  <c r="O577" i="31"/>
  <c r="N577" i="31"/>
  <c r="C577" i="31"/>
  <c r="O576" i="31"/>
  <c r="N576" i="31"/>
  <c r="C576" i="31"/>
  <c r="O575" i="31"/>
  <c r="N575" i="31"/>
  <c r="C575" i="31"/>
  <c r="O574" i="31"/>
  <c r="N574" i="31"/>
  <c r="O569" i="31"/>
  <c r="N569" i="31"/>
  <c r="O568" i="31"/>
  <c r="N568" i="31"/>
  <c r="O567" i="31"/>
  <c r="N567" i="31"/>
  <c r="O566" i="31"/>
  <c r="N566" i="31"/>
  <c r="C566" i="31"/>
  <c r="O565" i="31"/>
  <c r="N565" i="31"/>
  <c r="C565" i="31"/>
  <c r="O564" i="31"/>
  <c r="N564" i="31"/>
  <c r="C564" i="31"/>
  <c r="O563" i="31"/>
  <c r="N563" i="31"/>
  <c r="C563" i="31"/>
  <c r="O562" i="31"/>
  <c r="N562" i="31"/>
  <c r="C562" i="31"/>
  <c r="O561" i="31"/>
  <c r="N561" i="31"/>
  <c r="C561" i="31"/>
  <c r="O560" i="31"/>
  <c r="N560" i="31"/>
  <c r="C560" i="31"/>
  <c r="O559" i="31"/>
  <c r="N559" i="31"/>
  <c r="C559" i="31"/>
  <c r="O558" i="31"/>
  <c r="N558" i="31"/>
  <c r="O553" i="31"/>
  <c r="N553" i="31"/>
  <c r="O552" i="31"/>
  <c r="N552" i="31"/>
  <c r="O551" i="31"/>
  <c r="N551" i="31"/>
  <c r="O550" i="31"/>
  <c r="N550" i="31"/>
  <c r="C550" i="31"/>
  <c r="O549" i="31"/>
  <c r="N549" i="31"/>
  <c r="C549" i="31"/>
  <c r="O548" i="31"/>
  <c r="N548" i="31"/>
  <c r="C548" i="31"/>
  <c r="O547" i="31"/>
  <c r="N547" i="31"/>
  <c r="C547" i="31"/>
  <c r="O546" i="31"/>
  <c r="N546" i="31"/>
  <c r="C546" i="31"/>
  <c r="O545" i="31"/>
  <c r="N545" i="31"/>
  <c r="C545" i="31"/>
  <c r="O544" i="31"/>
  <c r="N544" i="31"/>
  <c r="C544" i="31"/>
  <c r="O543" i="31"/>
  <c r="N543" i="31"/>
  <c r="C543" i="31"/>
  <c r="O542" i="31"/>
  <c r="N542" i="31"/>
  <c r="C542" i="31"/>
  <c r="O541" i="31"/>
  <c r="N541" i="31"/>
  <c r="C541" i="31"/>
  <c r="O540" i="31"/>
  <c r="N540" i="31"/>
  <c r="C540" i="31"/>
  <c r="O539" i="31"/>
  <c r="N539" i="31"/>
  <c r="C539" i="31"/>
  <c r="O538" i="31"/>
  <c r="N538" i="31"/>
  <c r="C538" i="31"/>
  <c r="O537" i="31"/>
  <c r="N537" i="31"/>
  <c r="C537" i="31"/>
  <c r="N532" i="31"/>
  <c r="M532" i="31" s="1"/>
  <c r="I532" i="31" s="1"/>
  <c r="J532" i="31" s="1"/>
  <c r="O531" i="31"/>
  <c r="N531" i="31"/>
  <c r="C531" i="31"/>
  <c r="O526" i="31"/>
  <c r="N526" i="31"/>
  <c r="C526" i="31"/>
  <c r="O493" i="31"/>
  <c r="N493" i="31"/>
  <c r="O492" i="31"/>
  <c r="N492" i="31"/>
  <c r="O491" i="31"/>
  <c r="N491" i="31"/>
  <c r="O490" i="31"/>
  <c r="N490" i="31"/>
  <c r="C490" i="31"/>
  <c r="O489" i="31"/>
  <c r="N489" i="31"/>
  <c r="C489" i="31"/>
  <c r="O488" i="31"/>
  <c r="N488" i="31"/>
  <c r="C488" i="31"/>
  <c r="O487" i="31"/>
  <c r="N487" i="31"/>
  <c r="C487" i="31"/>
  <c r="O486" i="31"/>
  <c r="N486" i="31"/>
  <c r="C486" i="31"/>
  <c r="O485" i="31"/>
  <c r="N485" i="31"/>
  <c r="C485" i="31"/>
  <c r="O484" i="31"/>
  <c r="N484" i="31"/>
  <c r="C484" i="31"/>
  <c r="O483" i="31"/>
  <c r="N483" i="31"/>
  <c r="C483" i="31"/>
  <c r="O482" i="31"/>
  <c r="N482" i="31"/>
  <c r="C482" i="31"/>
  <c r="O481" i="31"/>
  <c r="N481" i="31"/>
  <c r="C481" i="31"/>
  <c r="O480" i="31"/>
  <c r="N480" i="31"/>
  <c r="C480" i="31"/>
  <c r="O479" i="31"/>
  <c r="N479" i="31"/>
  <c r="C479" i="31"/>
  <c r="O478" i="31"/>
  <c r="N478" i="31"/>
  <c r="C478" i="31"/>
  <c r="O477" i="31"/>
  <c r="N477" i="31"/>
  <c r="O472" i="31"/>
  <c r="N472" i="31"/>
  <c r="O471" i="31"/>
  <c r="N471" i="31"/>
  <c r="O470" i="31"/>
  <c r="N470" i="31"/>
  <c r="O469" i="31"/>
  <c r="N469" i="31"/>
  <c r="C469" i="31"/>
  <c r="O468" i="31"/>
  <c r="N468" i="31"/>
  <c r="C468" i="31"/>
  <c r="O467" i="31"/>
  <c r="N467" i="31"/>
  <c r="C467" i="31"/>
  <c r="O466" i="31"/>
  <c r="N466" i="31"/>
  <c r="C466" i="31"/>
  <c r="O465" i="31"/>
  <c r="N465" i="31"/>
  <c r="C465" i="31"/>
  <c r="O464" i="31"/>
  <c r="N464" i="31"/>
  <c r="C464" i="31"/>
  <c r="O463" i="31"/>
  <c r="N463" i="31"/>
  <c r="C463" i="31"/>
  <c r="O462" i="31"/>
  <c r="N462" i="31"/>
  <c r="C462" i="31"/>
  <c r="O461" i="31"/>
  <c r="N461" i="31"/>
  <c r="O456" i="31"/>
  <c r="N456" i="31"/>
  <c r="O455" i="31"/>
  <c r="N455" i="31"/>
  <c r="O454" i="31"/>
  <c r="N454" i="31"/>
  <c r="O453" i="31"/>
  <c r="N453" i="31"/>
  <c r="C453" i="31"/>
  <c r="O452" i="31"/>
  <c r="N452" i="31"/>
  <c r="C452" i="31"/>
  <c r="O451" i="31"/>
  <c r="N451" i="31"/>
  <c r="C451" i="31"/>
  <c r="O450" i="31"/>
  <c r="N450" i="31"/>
  <c r="C450" i="31"/>
  <c r="O449" i="31"/>
  <c r="N449" i="31"/>
  <c r="C449" i="31"/>
  <c r="O448" i="31"/>
  <c r="N448" i="31"/>
  <c r="C448" i="31"/>
  <c r="O447" i="31"/>
  <c r="N447" i="31"/>
  <c r="C447" i="31"/>
  <c r="O446" i="31"/>
  <c r="N446" i="31"/>
  <c r="C446" i="31"/>
  <c r="O445" i="31"/>
  <c r="N445" i="31"/>
  <c r="C445" i="31"/>
  <c r="O444" i="31"/>
  <c r="N444" i="31"/>
  <c r="C444" i="31"/>
  <c r="O443" i="31"/>
  <c r="N443" i="31"/>
  <c r="C443" i="31"/>
  <c r="O442" i="31"/>
  <c r="N442" i="31"/>
  <c r="C442" i="31"/>
  <c r="O441" i="31"/>
  <c r="N441" i="31"/>
  <c r="C441" i="31"/>
  <c r="O440" i="31"/>
  <c r="N440" i="31"/>
  <c r="C440" i="31"/>
  <c r="N435" i="31"/>
  <c r="M435" i="31" s="1"/>
  <c r="O434" i="31"/>
  <c r="N434" i="31"/>
  <c r="C434" i="31"/>
  <c r="O429" i="31"/>
  <c r="N429" i="31"/>
  <c r="C429" i="31"/>
  <c r="C428" i="31" s="1"/>
  <c r="O403" i="31"/>
  <c r="N403" i="31"/>
  <c r="O402" i="31"/>
  <c r="N402" i="31"/>
  <c r="O401" i="31"/>
  <c r="N401" i="31"/>
  <c r="O400" i="31"/>
  <c r="N400" i="31"/>
  <c r="C400" i="31"/>
  <c r="O399" i="31"/>
  <c r="N399" i="31"/>
  <c r="C399" i="31"/>
  <c r="O398" i="31"/>
  <c r="N398" i="31"/>
  <c r="C398" i="31"/>
  <c r="O397" i="31"/>
  <c r="N397" i="31"/>
  <c r="C397" i="31"/>
  <c r="O396" i="31"/>
  <c r="N396" i="31"/>
  <c r="C396" i="31"/>
  <c r="O395" i="31"/>
  <c r="N395" i="31"/>
  <c r="C395" i="31"/>
  <c r="O394" i="31"/>
  <c r="N394" i="31"/>
  <c r="C394" i="31"/>
  <c r="O393" i="31"/>
  <c r="N393" i="31"/>
  <c r="C393" i="31"/>
  <c r="O392" i="31"/>
  <c r="N392" i="31"/>
  <c r="C392" i="31"/>
  <c r="O391" i="31"/>
  <c r="N391" i="31"/>
  <c r="C391" i="31"/>
  <c r="O390" i="31"/>
  <c r="N390" i="31"/>
  <c r="C390" i="31"/>
  <c r="O389" i="31"/>
  <c r="N389" i="31"/>
  <c r="C389" i="31"/>
  <c r="O388" i="31"/>
  <c r="N388" i="31"/>
  <c r="C388" i="31"/>
  <c r="O387" i="31"/>
  <c r="N387" i="31"/>
  <c r="O382" i="31"/>
  <c r="N382" i="31"/>
  <c r="O381" i="31"/>
  <c r="N381" i="31"/>
  <c r="O380" i="31"/>
  <c r="N380" i="31"/>
  <c r="O379" i="31"/>
  <c r="N379" i="31"/>
  <c r="C379" i="31"/>
  <c r="O378" i="31"/>
  <c r="N378" i="31"/>
  <c r="C378" i="31"/>
  <c r="O377" i="31"/>
  <c r="N377" i="31"/>
  <c r="C377" i="31"/>
  <c r="O376" i="31"/>
  <c r="N376" i="31"/>
  <c r="C376" i="31"/>
  <c r="O375" i="31"/>
  <c r="N375" i="31"/>
  <c r="C375" i="31"/>
  <c r="O374" i="31"/>
  <c r="N374" i="31"/>
  <c r="C374" i="31"/>
  <c r="O373" i="31"/>
  <c r="N373" i="31"/>
  <c r="C373" i="31"/>
  <c r="O372" i="31"/>
  <c r="N372" i="31"/>
  <c r="C372" i="31"/>
  <c r="O371" i="31"/>
  <c r="N371" i="31"/>
  <c r="O366" i="31"/>
  <c r="N366" i="31"/>
  <c r="O365" i="31"/>
  <c r="N365" i="31"/>
  <c r="O364" i="31"/>
  <c r="N364" i="31"/>
  <c r="O363" i="31"/>
  <c r="N363" i="31"/>
  <c r="C363" i="31"/>
  <c r="O362" i="31"/>
  <c r="N362" i="31"/>
  <c r="C362" i="31"/>
  <c r="O361" i="31"/>
  <c r="N361" i="31"/>
  <c r="C361" i="31"/>
  <c r="O360" i="31"/>
  <c r="N360" i="31"/>
  <c r="C360" i="31"/>
  <c r="O359" i="31"/>
  <c r="N359" i="31"/>
  <c r="C359" i="31"/>
  <c r="O358" i="31"/>
  <c r="N358" i="31"/>
  <c r="C358" i="31"/>
  <c r="O357" i="31"/>
  <c r="N357" i="31"/>
  <c r="C357" i="31"/>
  <c r="O356" i="31"/>
  <c r="N356" i="31"/>
  <c r="C356" i="31"/>
  <c r="O355" i="31"/>
  <c r="N355" i="31"/>
  <c r="C355" i="31"/>
  <c r="O354" i="31"/>
  <c r="N354" i="31"/>
  <c r="C354" i="31"/>
  <c r="O353" i="31"/>
  <c r="N353" i="31"/>
  <c r="C353" i="31"/>
  <c r="O352" i="31"/>
  <c r="N352" i="31"/>
  <c r="C352" i="31"/>
  <c r="O351" i="31"/>
  <c r="N351" i="31"/>
  <c r="C351" i="31"/>
  <c r="O350" i="31"/>
  <c r="N350" i="31"/>
  <c r="C350" i="31"/>
  <c r="N345" i="31"/>
  <c r="M345" i="31" s="1"/>
  <c r="O344" i="31"/>
  <c r="N344" i="31"/>
  <c r="C344" i="31"/>
  <c r="O339" i="31"/>
  <c r="N339" i="31"/>
  <c r="C339" i="31"/>
  <c r="C338" i="31" s="1"/>
  <c r="O306" i="31"/>
  <c r="N306" i="31"/>
  <c r="O305" i="31"/>
  <c r="N305" i="31"/>
  <c r="O304" i="31"/>
  <c r="N304" i="31"/>
  <c r="O303" i="31"/>
  <c r="N303" i="31"/>
  <c r="C303" i="31"/>
  <c r="O302" i="31"/>
  <c r="N302" i="31"/>
  <c r="C302" i="31"/>
  <c r="O301" i="31"/>
  <c r="N301" i="31"/>
  <c r="C301" i="31"/>
  <c r="O300" i="31"/>
  <c r="N300" i="31"/>
  <c r="C300" i="31"/>
  <c r="O299" i="31"/>
  <c r="N299" i="31"/>
  <c r="C299" i="31"/>
  <c r="O298" i="31"/>
  <c r="N298" i="31"/>
  <c r="C298" i="31"/>
  <c r="O297" i="31"/>
  <c r="N297" i="31"/>
  <c r="C297" i="31"/>
  <c r="O296" i="31"/>
  <c r="N296" i="31"/>
  <c r="C296" i="31"/>
  <c r="O295" i="31"/>
  <c r="N295" i="31"/>
  <c r="C295" i="31"/>
  <c r="O294" i="31"/>
  <c r="N294" i="31"/>
  <c r="C294" i="31"/>
  <c r="O293" i="31"/>
  <c r="N293" i="31"/>
  <c r="C293" i="31"/>
  <c r="O292" i="31"/>
  <c r="N292" i="31"/>
  <c r="C292" i="31"/>
  <c r="O291" i="31"/>
  <c r="N291" i="31"/>
  <c r="C291" i="31"/>
  <c r="O290" i="31"/>
  <c r="N290" i="31"/>
  <c r="O285" i="31"/>
  <c r="N285" i="31"/>
  <c r="O284" i="31"/>
  <c r="N284" i="31"/>
  <c r="O283" i="31"/>
  <c r="N283" i="31"/>
  <c r="O282" i="31"/>
  <c r="N282" i="31"/>
  <c r="C282" i="31"/>
  <c r="O281" i="31"/>
  <c r="N281" i="31"/>
  <c r="C281" i="31"/>
  <c r="O280" i="31"/>
  <c r="N280" i="31"/>
  <c r="C280" i="31"/>
  <c r="O279" i="31"/>
  <c r="N279" i="31"/>
  <c r="C279" i="31"/>
  <c r="O278" i="31"/>
  <c r="N278" i="31"/>
  <c r="C278" i="31"/>
  <c r="O277" i="31"/>
  <c r="N277" i="31"/>
  <c r="C277" i="31"/>
  <c r="O276" i="31"/>
  <c r="N276" i="31"/>
  <c r="C276" i="31"/>
  <c r="O275" i="31"/>
  <c r="N275" i="31"/>
  <c r="C275" i="31"/>
  <c r="O274" i="31"/>
  <c r="N274" i="31"/>
  <c r="O269" i="31"/>
  <c r="N269" i="31"/>
  <c r="O268" i="31"/>
  <c r="N268" i="31"/>
  <c r="O267" i="31"/>
  <c r="N267" i="31"/>
  <c r="O266" i="31"/>
  <c r="N266" i="31"/>
  <c r="C266" i="31"/>
  <c r="O265" i="31"/>
  <c r="N265" i="31"/>
  <c r="C265" i="31"/>
  <c r="O264" i="31"/>
  <c r="N264" i="31"/>
  <c r="C264" i="31"/>
  <c r="O263" i="31"/>
  <c r="N263" i="31"/>
  <c r="C263" i="31"/>
  <c r="O262" i="31"/>
  <c r="N262" i="31"/>
  <c r="C262" i="31"/>
  <c r="O261" i="31"/>
  <c r="N261" i="31"/>
  <c r="C261" i="31"/>
  <c r="O260" i="31"/>
  <c r="N260" i="31"/>
  <c r="C260" i="31"/>
  <c r="O259" i="31"/>
  <c r="N259" i="31"/>
  <c r="C259" i="31"/>
  <c r="O258" i="31"/>
  <c r="N258" i="31"/>
  <c r="C258" i="31"/>
  <c r="O257" i="31"/>
  <c r="N257" i="31"/>
  <c r="C257" i="31"/>
  <c r="O256" i="31"/>
  <c r="N256" i="31"/>
  <c r="C256" i="31"/>
  <c r="O255" i="31"/>
  <c r="N255" i="31"/>
  <c r="C255" i="31"/>
  <c r="O254" i="31"/>
  <c r="N254" i="31"/>
  <c r="C254" i="31"/>
  <c r="O253" i="31"/>
  <c r="N253" i="31"/>
  <c r="C253" i="31"/>
  <c r="N248" i="31"/>
  <c r="M248" i="31" s="1"/>
  <c r="O247" i="31"/>
  <c r="N247" i="31"/>
  <c r="C247" i="31"/>
  <c r="O242" i="31"/>
  <c r="N242" i="31"/>
  <c r="C242" i="31"/>
  <c r="C241" i="31" s="1"/>
  <c r="O216" i="31"/>
  <c r="N216" i="31"/>
  <c r="O215" i="31"/>
  <c r="N215" i="31"/>
  <c r="O214" i="31"/>
  <c r="N214" i="31"/>
  <c r="O213" i="31"/>
  <c r="N213" i="31"/>
  <c r="C213" i="31"/>
  <c r="O212" i="31"/>
  <c r="N212" i="31"/>
  <c r="C212" i="31"/>
  <c r="O211" i="31"/>
  <c r="N211" i="31"/>
  <c r="C211" i="31"/>
  <c r="O210" i="31"/>
  <c r="N210" i="31"/>
  <c r="C210" i="31"/>
  <c r="O209" i="31"/>
  <c r="N209" i="31"/>
  <c r="C209" i="31"/>
  <c r="O208" i="31"/>
  <c r="N208" i="31"/>
  <c r="C208" i="31"/>
  <c r="O207" i="31"/>
  <c r="N207" i="31"/>
  <c r="C207" i="31"/>
  <c r="O206" i="31"/>
  <c r="N206" i="31"/>
  <c r="C206" i="31"/>
  <c r="O205" i="31"/>
  <c r="N205" i="31"/>
  <c r="C205" i="31"/>
  <c r="O204" i="31"/>
  <c r="N204" i="31"/>
  <c r="C204" i="31"/>
  <c r="O203" i="31"/>
  <c r="N203" i="31"/>
  <c r="C203" i="31"/>
  <c r="O202" i="31"/>
  <c r="N202" i="31"/>
  <c r="C202" i="31"/>
  <c r="O201" i="31"/>
  <c r="N201" i="31"/>
  <c r="C201" i="31"/>
  <c r="O200" i="31"/>
  <c r="N200" i="31"/>
  <c r="O195" i="31"/>
  <c r="N195" i="31"/>
  <c r="O194" i="31"/>
  <c r="N194" i="31"/>
  <c r="O193" i="31"/>
  <c r="N193" i="31"/>
  <c r="O192" i="31"/>
  <c r="N192" i="31"/>
  <c r="C192" i="31"/>
  <c r="O191" i="31"/>
  <c r="N191" i="31"/>
  <c r="C191" i="31"/>
  <c r="O190" i="31"/>
  <c r="N190" i="31"/>
  <c r="C190" i="31"/>
  <c r="O189" i="31"/>
  <c r="N189" i="31"/>
  <c r="C189" i="31"/>
  <c r="O188" i="31"/>
  <c r="N188" i="31"/>
  <c r="C188" i="31"/>
  <c r="O187" i="31"/>
  <c r="N187" i="31"/>
  <c r="C187" i="31"/>
  <c r="O186" i="31"/>
  <c r="N186" i="31"/>
  <c r="C186" i="31"/>
  <c r="O185" i="31"/>
  <c r="N185" i="31"/>
  <c r="C185" i="31"/>
  <c r="O184" i="31"/>
  <c r="N184" i="31"/>
  <c r="O179" i="31"/>
  <c r="N179" i="31"/>
  <c r="O178" i="31"/>
  <c r="N178" i="31"/>
  <c r="O177" i="31"/>
  <c r="N177" i="31"/>
  <c r="O176" i="31"/>
  <c r="N176" i="31"/>
  <c r="C176" i="31"/>
  <c r="O175" i="31"/>
  <c r="N175" i="31"/>
  <c r="C175" i="31"/>
  <c r="O174" i="31"/>
  <c r="N174" i="31"/>
  <c r="C174" i="31"/>
  <c r="O173" i="31"/>
  <c r="N173" i="31"/>
  <c r="C173" i="31"/>
  <c r="O172" i="31"/>
  <c r="N172" i="31"/>
  <c r="C172" i="31"/>
  <c r="O171" i="31"/>
  <c r="N171" i="31"/>
  <c r="C171" i="31"/>
  <c r="O170" i="31"/>
  <c r="N170" i="31"/>
  <c r="C170" i="31"/>
  <c r="O169" i="31"/>
  <c r="N169" i="31"/>
  <c r="C169" i="31"/>
  <c r="O168" i="31"/>
  <c r="N168" i="31"/>
  <c r="C168" i="31"/>
  <c r="O167" i="31"/>
  <c r="N167" i="31"/>
  <c r="C167" i="31"/>
  <c r="O166" i="31"/>
  <c r="N166" i="31"/>
  <c r="C166" i="31"/>
  <c r="O165" i="31"/>
  <c r="N165" i="31"/>
  <c r="C165" i="31"/>
  <c r="O164" i="31"/>
  <c r="N164" i="31"/>
  <c r="C164" i="31"/>
  <c r="O163" i="31"/>
  <c r="N163" i="31"/>
  <c r="C163" i="31"/>
  <c r="N158" i="31"/>
  <c r="M158" i="31" s="1"/>
  <c r="O157" i="31"/>
  <c r="N157" i="31"/>
  <c r="C157" i="31"/>
  <c r="O152" i="31"/>
  <c r="N152" i="31"/>
  <c r="C152" i="31"/>
  <c r="C151" i="31" s="1"/>
  <c r="O126" i="31"/>
  <c r="N126" i="31"/>
  <c r="O125" i="31"/>
  <c r="N125" i="31"/>
  <c r="O124" i="31"/>
  <c r="N124" i="31"/>
  <c r="O123" i="31"/>
  <c r="N123" i="31"/>
  <c r="C123" i="31"/>
  <c r="O122" i="31"/>
  <c r="N122" i="31"/>
  <c r="C122" i="31"/>
  <c r="O121" i="31"/>
  <c r="N121" i="31"/>
  <c r="C121" i="31"/>
  <c r="O120" i="31"/>
  <c r="N120" i="31"/>
  <c r="C120" i="31"/>
  <c r="O119" i="31"/>
  <c r="N119" i="31"/>
  <c r="C119" i="31"/>
  <c r="O118" i="31"/>
  <c r="N118" i="31"/>
  <c r="C118" i="31"/>
  <c r="O117" i="31"/>
  <c r="N117" i="31"/>
  <c r="C117" i="31"/>
  <c r="O116" i="31"/>
  <c r="N116" i="31"/>
  <c r="C116" i="31"/>
  <c r="O115" i="31"/>
  <c r="N115" i="31"/>
  <c r="C115" i="31"/>
  <c r="O114" i="31"/>
  <c r="N114" i="31"/>
  <c r="C114" i="31"/>
  <c r="O113" i="31"/>
  <c r="N113" i="31"/>
  <c r="C113" i="31"/>
  <c r="O112" i="31"/>
  <c r="N112" i="31"/>
  <c r="C112" i="31"/>
  <c r="O111" i="31"/>
  <c r="N111" i="31"/>
  <c r="C111" i="31"/>
  <c r="O110" i="31"/>
  <c r="N110" i="31"/>
  <c r="O105" i="31"/>
  <c r="N105" i="31"/>
  <c r="O104" i="31"/>
  <c r="N104" i="31"/>
  <c r="O103" i="31"/>
  <c r="N103" i="31"/>
  <c r="O102" i="31"/>
  <c r="N102" i="31"/>
  <c r="C102" i="31"/>
  <c r="O101" i="31"/>
  <c r="N101" i="31"/>
  <c r="C101" i="31"/>
  <c r="O100" i="31"/>
  <c r="N100" i="31"/>
  <c r="C100" i="31"/>
  <c r="O99" i="31"/>
  <c r="N99" i="31"/>
  <c r="C99" i="31"/>
  <c r="O98" i="31"/>
  <c r="N98" i="31"/>
  <c r="C98" i="31"/>
  <c r="O97" i="31"/>
  <c r="N97" i="31"/>
  <c r="C97" i="31"/>
  <c r="O96" i="31"/>
  <c r="N96" i="31"/>
  <c r="C96" i="31"/>
  <c r="O95" i="31"/>
  <c r="N95" i="31"/>
  <c r="C95" i="31"/>
  <c r="O94" i="31"/>
  <c r="N94" i="31"/>
  <c r="C94" i="31"/>
  <c r="O93" i="31"/>
  <c r="N93" i="31"/>
  <c r="C93" i="31"/>
  <c r="O92" i="31"/>
  <c r="N92" i="31"/>
  <c r="C92" i="31"/>
  <c r="O91" i="31"/>
  <c r="N91" i="31"/>
  <c r="O86" i="31"/>
  <c r="N86" i="31"/>
  <c r="O85" i="31"/>
  <c r="N85" i="31"/>
  <c r="O84" i="31"/>
  <c r="N84" i="31"/>
  <c r="O83" i="31"/>
  <c r="N83" i="31"/>
  <c r="C83" i="31"/>
  <c r="O82" i="31"/>
  <c r="N82" i="31"/>
  <c r="C82" i="31"/>
  <c r="O81" i="31"/>
  <c r="N81" i="31"/>
  <c r="C81" i="31"/>
  <c r="O80" i="31"/>
  <c r="N80" i="31"/>
  <c r="C80" i="31"/>
  <c r="O79" i="31"/>
  <c r="N79" i="31"/>
  <c r="C79" i="31"/>
  <c r="O78" i="31"/>
  <c r="N78" i="31"/>
  <c r="C78" i="31"/>
  <c r="O77" i="31"/>
  <c r="N77" i="31"/>
  <c r="C77" i="31"/>
  <c r="O76" i="31"/>
  <c r="N76" i="31"/>
  <c r="C76" i="31"/>
  <c r="O75" i="31"/>
  <c r="N75" i="31"/>
  <c r="C75" i="31"/>
  <c r="O74" i="31"/>
  <c r="N74" i="31"/>
  <c r="C74" i="31"/>
  <c r="O73" i="31"/>
  <c r="N73" i="31"/>
  <c r="C73" i="31"/>
  <c r="O72" i="31"/>
  <c r="N72" i="31"/>
  <c r="O67" i="31"/>
  <c r="N67" i="31"/>
  <c r="O66" i="31"/>
  <c r="N66" i="31"/>
  <c r="O65" i="31"/>
  <c r="N65" i="31"/>
  <c r="O64" i="31"/>
  <c r="N64" i="31"/>
  <c r="C64" i="31"/>
  <c r="O63" i="31"/>
  <c r="N63" i="31"/>
  <c r="C63" i="31"/>
  <c r="O62" i="31"/>
  <c r="N62" i="31"/>
  <c r="C62" i="31"/>
  <c r="O61" i="31"/>
  <c r="N61" i="31"/>
  <c r="C61" i="31"/>
  <c r="O60" i="31"/>
  <c r="N60" i="31"/>
  <c r="C60" i="31"/>
  <c r="O59" i="31"/>
  <c r="N59" i="31"/>
  <c r="C59" i="31"/>
  <c r="O54" i="31"/>
  <c r="N54" i="31"/>
  <c r="O53" i="31"/>
  <c r="N53" i="31"/>
  <c r="O52" i="31"/>
  <c r="N52" i="31"/>
  <c r="O51" i="31"/>
  <c r="N51" i="31"/>
  <c r="C51" i="31"/>
  <c r="O50" i="31"/>
  <c r="N50" i="31"/>
  <c r="C50" i="31"/>
  <c r="O49" i="31"/>
  <c r="N49" i="31"/>
  <c r="C49" i="31"/>
  <c r="O48" i="31"/>
  <c r="N48" i="31"/>
  <c r="C48" i="31"/>
  <c r="O47" i="31"/>
  <c r="N47" i="31"/>
  <c r="C47" i="31"/>
  <c r="O46" i="31"/>
  <c r="N46" i="31"/>
  <c r="C46" i="31"/>
  <c r="O45" i="31"/>
  <c r="N45" i="31"/>
  <c r="C45" i="31"/>
  <c r="O44" i="31"/>
  <c r="N44" i="31"/>
  <c r="C44" i="31"/>
  <c r="O43" i="31"/>
  <c r="N43" i="31"/>
  <c r="C43" i="31"/>
  <c r="O42" i="31"/>
  <c r="N42" i="31"/>
  <c r="C42" i="31"/>
  <c r="O41" i="31"/>
  <c r="N41" i="31"/>
  <c r="C41" i="31"/>
  <c r="O40" i="31"/>
  <c r="N40" i="31"/>
  <c r="C40" i="31"/>
  <c r="O39" i="31"/>
  <c r="N39" i="31"/>
  <c r="C39" i="31"/>
  <c r="O38" i="31"/>
  <c r="N38" i="31"/>
  <c r="C38" i="31"/>
  <c r="O37" i="31"/>
  <c r="N37" i="31"/>
  <c r="C37" i="31"/>
  <c r="N32" i="31"/>
  <c r="M32" i="31" s="1"/>
  <c r="I32" i="31" s="1"/>
  <c r="J32" i="31" s="1"/>
  <c r="O31" i="31"/>
  <c r="N31" i="31"/>
  <c r="C31" i="31"/>
  <c r="O26" i="31"/>
  <c r="N26" i="31"/>
  <c r="C26" i="31"/>
  <c r="C25" i="31" s="1"/>
  <c r="P596" i="31"/>
  <c r="M596" i="31"/>
  <c r="I596" i="31" s="1"/>
  <c r="J596" i="31" s="1"/>
  <c r="L596" i="31"/>
  <c r="S595" i="31"/>
  <c r="O595" i="31" s="1"/>
  <c r="M595" i="31" s="1"/>
  <c r="P595" i="31"/>
  <c r="L595" i="31"/>
  <c r="I595" i="31" s="1"/>
  <c r="J595" i="31" s="1"/>
  <c r="J598" i="31" s="1"/>
  <c r="G595" i="31"/>
  <c r="P591" i="31"/>
  <c r="M591" i="31"/>
  <c r="L591" i="31"/>
  <c r="P590" i="31"/>
  <c r="L590" i="31"/>
  <c r="P589" i="31"/>
  <c r="L589" i="31"/>
  <c r="P588" i="31"/>
  <c r="M588" i="31"/>
  <c r="L588" i="31"/>
  <c r="P587" i="31"/>
  <c r="L587" i="31"/>
  <c r="P586" i="31"/>
  <c r="M586" i="31"/>
  <c r="L586" i="31"/>
  <c r="P585" i="31"/>
  <c r="M585" i="31"/>
  <c r="L585" i="31"/>
  <c r="P584" i="31"/>
  <c r="L584" i="31"/>
  <c r="P583" i="31"/>
  <c r="L583" i="31"/>
  <c r="P582" i="31"/>
  <c r="M582" i="31"/>
  <c r="L582" i="31"/>
  <c r="P581" i="31"/>
  <c r="M581" i="31"/>
  <c r="L581" i="31"/>
  <c r="P580" i="31"/>
  <c r="L580" i="31"/>
  <c r="P579" i="31"/>
  <c r="L579" i="31"/>
  <c r="P578" i="31"/>
  <c r="L578" i="31"/>
  <c r="P577" i="31"/>
  <c r="M577" i="31"/>
  <c r="L577" i="31"/>
  <c r="P576" i="31"/>
  <c r="L576" i="31"/>
  <c r="P575" i="31"/>
  <c r="L575" i="31"/>
  <c r="P574" i="31"/>
  <c r="M574" i="31"/>
  <c r="L574" i="31"/>
  <c r="P570" i="31"/>
  <c r="M570" i="31"/>
  <c r="L570" i="31"/>
  <c r="P569" i="31"/>
  <c r="L569" i="31"/>
  <c r="P568" i="31"/>
  <c r="M568" i="31"/>
  <c r="L568" i="31"/>
  <c r="P567" i="31"/>
  <c r="L567" i="31"/>
  <c r="P566" i="31"/>
  <c r="M566" i="31"/>
  <c r="L566" i="31"/>
  <c r="P565" i="31"/>
  <c r="M565" i="31"/>
  <c r="L565" i="31"/>
  <c r="P564" i="31"/>
  <c r="L564" i="31"/>
  <c r="P563" i="31"/>
  <c r="L563" i="31"/>
  <c r="P562" i="31"/>
  <c r="L562" i="31"/>
  <c r="P561" i="31"/>
  <c r="M561" i="31"/>
  <c r="L561" i="31"/>
  <c r="P560" i="31"/>
  <c r="L560" i="31"/>
  <c r="P559" i="31"/>
  <c r="L559" i="31"/>
  <c r="P558" i="31"/>
  <c r="M558" i="31"/>
  <c r="L558" i="31"/>
  <c r="D557" i="31"/>
  <c r="P554" i="31"/>
  <c r="M554" i="31"/>
  <c r="L554" i="31"/>
  <c r="P553" i="31"/>
  <c r="L553" i="31"/>
  <c r="P552" i="31"/>
  <c r="L552" i="31"/>
  <c r="P551" i="31"/>
  <c r="L551" i="31"/>
  <c r="P550" i="31"/>
  <c r="L550" i="31"/>
  <c r="P549" i="31"/>
  <c r="L549" i="31"/>
  <c r="P548" i="31"/>
  <c r="L548" i="31"/>
  <c r="P547" i="31"/>
  <c r="L547" i="31"/>
  <c r="P546" i="31"/>
  <c r="M546" i="31"/>
  <c r="L546" i="31"/>
  <c r="P545" i="31"/>
  <c r="M545" i="31"/>
  <c r="I545" i="31" s="1"/>
  <c r="J545" i="31" s="1"/>
  <c r="L545" i="31"/>
  <c r="P544" i="31"/>
  <c r="L544" i="31"/>
  <c r="P543" i="31"/>
  <c r="L543" i="31"/>
  <c r="P542" i="31"/>
  <c r="L542" i="31"/>
  <c r="P541" i="31"/>
  <c r="M541" i="31"/>
  <c r="I541" i="31" s="1"/>
  <c r="J541" i="31" s="1"/>
  <c r="L541" i="31"/>
  <c r="P540" i="31"/>
  <c r="L540" i="31"/>
  <c r="P539" i="31"/>
  <c r="L539" i="31"/>
  <c r="P538" i="31"/>
  <c r="M538" i="31"/>
  <c r="L538" i="31"/>
  <c r="P537" i="31"/>
  <c r="M537" i="31"/>
  <c r="I537" i="31" s="1"/>
  <c r="J537" i="31" s="1"/>
  <c r="L537" i="31"/>
  <c r="D536" i="31"/>
  <c r="P533" i="31"/>
  <c r="M533" i="31"/>
  <c r="L533" i="31"/>
  <c r="J533" i="31"/>
  <c r="P532" i="31"/>
  <c r="L532" i="31"/>
  <c r="P531" i="31"/>
  <c r="L531" i="31"/>
  <c r="P527" i="31"/>
  <c r="M527" i="31"/>
  <c r="L527" i="31"/>
  <c r="P526" i="31"/>
  <c r="L526" i="31"/>
  <c r="C525" i="31"/>
  <c r="F525" i="31"/>
  <c r="E525" i="31"/>
  <c r="D525" i="31"/>
  <c r="P522" i="31"/>
  <c r="M522" i="31"/>
  <c r="L522" i="31"/>
  <c r="P521" i="31"/>
  <c r="M521" i="31"/>
  <c r="L521" i="31"/>
  <c r="P520" i="31"/>
  <c r="M520" i="31"/>
  <c r="L520" i="31"/>
  <c r="I520" i="31" s="1"/>
  <c r="J520" i="31" s="1"/>
  <c r="P519" i="31"/>
  <c r="M519" i="31"/>
  <c r="L519" i="31"/>
  <c r="I519" i="31" s="1"/>
  <c r="J519" i="31" s="1"/>
  <c r="P518" i="31"/>
  <c r="M518" i="31"/>
  <c r="L518" i="31"/>
  <c r="I518" i="31" s="1"/>
  <c r="J518" i="31" s="1"/>
  <c r="P517" i="31"/>
  <c r="M517" i="31"/>
  <c r="L517" i="31"/>
  <c r="I517" i="31"/>
  <c r="J517" i="31" s="1"/>
  <c r="P516" i="31"/>
  <c r="M516" i="31"/>
  <c r="L516" i="31"/>
  <c r="P515" i="31"/>
  <c r="M515" i="31"/>
  <c r="L515" i="31"/>
  <c r="P514" i="31"/>
  <c r="M514" i="31"/>
  <c r="L514" i="31"/>
  <c r="I514" i="31" s="1"/>
  <c r="J514" i="31" s="1"/>
  <c r="P513" i="31"/>
  <c r="M513" i="31"/>
  <c r="L513" i="31"/>
  <c r="I513" i="31"/>
  <c r="J513" i="31" s="1"/>
  <c r="P512" i="31"/>
  <c r="M512" i="31"/>
  <c r="L512" i="31"/>
  <c r="P511" i="31"/>
  <c r="M511" i="31"/>
  <c r="L511" i="31"/>
  <c r="I511" i="31" s="1"/>
  <c r="J511" i="31" s="1"/>
  <c r="P510" i="31"/>
  <c r="M510" i="31"/>
  <c r="L510" i="31"/>
  <c r="P509" i="31"/>
  <c r="M509" i="31"/>
  <c r="L509" i="31"/>
  <c r="I509" i="31" s="1"/>
  <c r="J509" i="31" s="1"/>
  <c r="P508" i="31"/>
  <c r="M508" i="31"/>
  <c r="L508" i="31"/>
  <c r="P507" i="31"/>
  <c r="M507" i="31"/>
  <c r="L507" i="31"/>
  <c r="I507" i="31" s="1"/>
  <c r="J507" i="31" s="1"/>
  <c r="P506" i="31"/>
  <c r="M506" i="31"/>
  <c r="L506" i="31"/>
  <c r="I506" i="31" s="1"/>
  <c r="J506" i="31" s="1"/>
  <c r="P505" i="31"/>
  <c r="M505" i="31"/>
  <c r="I505" i="31" s="1"/>
  <c r="J505" i="31" s="1"/>
  <c r="L505" i="31"/>
  <c r="P499" i="31"/>
  <c r="M499" i="31"/>
  <c r="I499" i="31" s="1"/>
  <c r="J499" i="31" s="1"/>
  <c r="L499" i="31"/>
  <c r="S498" i="31"/>
  <c r="O498" i="31" s="1"/>
  <c r="M498" i="31" s="1"/>
  <c r="P498" i="31"/>
  <c r="L498" i="31"/>
  <c r="G498" i="31"/>
  <c r="P494" i="31"/>
  <c r="M494" i="31"/>
  <c r="I494" i="31" s="1"/>
  <c r="J494" i="31" s="1"/>
  <c r="L494" i="31"/>
  <c r="P493" i="31"/>
  <c r="L493" i="31"/>
  <c r="P492" i="31"/>
  <c r="M492" i="31"/>
  <c r="L492" i="31"/>
  <c r="P491" i="31"/>
  <c r="L491" i="31"/>
  <c r="P490" i="31"/>
  <c r="M490" i="31"/>
  <c r="I490" i="31" s="1"/>
  <c r="J490" i="31" s="1"/>
  <c r="L490" i="31"/>
  <c r="P489" i="31"/>
  <c r="L489" i="31"/>
  <c r="P488" i="31"/>
  <c r="L488" i="31"/>
  <c r="P487" i="31"/>
  <c r="M487" i="31"/>
  <c r="L487" i="31"/>
  <c r="P486" i="31"/>
  <c r="L486" i="31"/>
  <c r="P485" i="31"/>
  <c r="L485" i="31"/>
  <c r="P484" i="31"/>
  <c r="L484" i="31"/>
  <c r="P483" i="31"/>
  <c r="L483" i="31"/>
  <c r="P482" i="31"/>
  <c r="L482" i="31"/>
  <c r="P481" i="31"/>
  <c r="L481" i="31"/>
  <c r="P480" i="31"/>
  <c r="L480" i="31"/>
  <c r="P479" i="31"/>
  <c r="L479" i="31"/>
  <c r="P478" i="31"/>
  <c r="L478" i="31"/>
  <c r="P477" i="31"/>
  <c r="L477" i="31"/>
  <c r="P473" i="31"/>
  <c r="M473" i="31"/>
  <c r="L473" i="31"/>
  <c r="P472" i="31"/>
  <c r="L472" i="31"/>
  <c r="P471" i="31"/>
  <c r="L471" i="31"/>
  <c r="P470" i="31"/>
  <c r="L470" i="31"/>
  <c r="P469" i="31"/>
  <c r="L469" i="31"/>
  <c r="P468" i="31"/>
  <c r="L468" i="31"/>
  <c r="P467" i="31"/>
  <c r="L467" i="31"/>
  <c r="P466" i="31"/>
  <c r="L466" i="31"/>
  <c r="P465" i="31"/>
  <c r="L465" i="31"/>
  <c r="P464" i="31"/>
  <c r="L464" i="31"/>
  <c r="P463" i="31"/>
  <c r="L463" i="31"/>
  <c r="P462" i="31"/>
  <c r="L462" i="31"/>
  <c r="P461" i="31"/>
  <c r="L461" i="31"/>
  <c r="D460" i="31"/>
  <c r="P457" i="31"/>
  <c r="M457" i="31"/>
  <c r="L457" i="31"/>
  <c r="P456" i="31"/>
  <c r="L456" i="31"/>
  <c r="P455" i="31"/>
  <c r="L455" i="31"/>
  <c r="P454" i="31"/>
  <c r="L454" i="31"/>
  <c r="P453" i="31"/>
  <c r="L453" i="31"/>
  <c r="P452" i="31"/>
  <c r="L452" i="31"/>
  <c r="P451" i="31"/>
  <c r="L451" i="31"/>
  <c r="P450" i="31"/>
  <c r="L450" i="31"/>
  <c r="P449" i="31"/>
  <c r="L449" i="31"/>
  <c r="P448" i="31"/>
  <c r="L448" i="31"/>
  <c r="P447" i="31"/>
  <c r="L447" i="31"/>
  <c r="P446" i="31"/>
  <c r="L446" i="31"/>
  <c r="P445" i="31"/>
  <c r="L445" i="31"/>
  <c r="P444" i="31"/>
  <c r="L444" i="31"/>
  <c r="P443" i="31"/>
  <c r="L443" i="31"/>
  <c r="P442" i="31"/>
  <c r="L442" i="31"/>
  <c r="P441" i="31"/>
  <c r="L441" i="31"/>
  <c r="P440" i="31"/>
  <c r="L440" i="31"/>
  <c r="D439" i="31"/>
  <c r="P436" i="31"/>
  <c r="M436" i="31"/>
  <c r="L436" i="31"/>
  <c r="J436" i="31"/>
  <c r="P435" i="31"/>
  <c r="L435" i="31"/>
  <c r="P434" i="31"/>
  <c r="L434" i="31"/>
  <c r="P430" i="31"/>
  <c r="M430" i="31"/>
  <c r="L430" i="31"/>
  <c r="P429" i="31"/>
  <c r="L429" i="31"/>
  <c r="F428" i="31"/>
  <c r="E428" i="31"/>
  <c r="D428" i="31"/>
  <c r="P425" i="31"/>
  <c r="M425" i="31"/>
  <c r="L425" i="31"/>
  <c r="I425" i="31" s="1"/>
  <c r="J425" i="31" s="1"/>
  <c r="P424" i="31"/>
  <c r="M424" i="31"/>
  <c r="L424" i="31"/>
  <c r="I424" i="31" s="1"/>
  <c r="J424" i="31" s="1"/>
  <c r="P423" i="31"/>
  <c r="M423" i="31"/>
  <c r="L423" i="31"/>
  <c r="I423" i="31" s="1"/>
  <c r="J423" i="31" s="1"/>
  <c r="P422" i="31"/>
  <c r="M422" i="31"/>
  <c r="L422" i="31"/>
  <c r="I422" i="31" s="1"/>
  <c r="J422" i="31" s="1"/>
  <c r="P421" i="31"/>
  <c r="M421" i="31"/>
  <c r="L421" i="31"/>
  <c r="I421" i="31" s="1"/>
  <c r="J421" i="31" s="1"/>
  <c r="P420" i="31"/>
  <c r="M420" i="31"/>
  <c r="L420" i="31"/>
  <c r="I420" i="31"/>
  <c r="J420" i="31" s="1"/>
  <c r="P419" i="31"/>
  <c r="M419" i="31"/>
  <c r="L419" i="31"/>
  <c r="I419" i="31"/>
  <c r="J419" i="31" s="1"/>
  <c r="P418" i="31"/>
  <c r="M418" i="31"/>
  <c r="L418" i="31"/>
  <c r="I418" i="31" s="1"/>
  <c r="J418" i="31" s="1"/>
  <c r="P417" i="31"/>
  <c r="M417" i="31"/>
  <c r="L417" i="31"/>
  <c r="I417" i="31" s="1"/>
  <c r="J417" i="31" s="1"/>
  <c r="P416" i="31"/>
  <c r="M416" i="31"/>
  <c r="I416" i="31" s="1"/>
  <c r="J416" i="31" s="1"/>
  <c r="L416" i="31"/>
  <c r="P415" i="31"/>
  <c r="M415" i="31"/>
  <c r="L415" i="31"/>
  <c r="I415" i="31"/>
  <c r="J415" i="31" s="1"/>
  <c r="P409" i="31"/>
  <c r="M409" i="31"/>
  <c r="L409" i="31"/>
  <c r="I409" i="31"/>
  <c r="J409" i="31" s="1"/>
  <c r="S408" i="31"/>
  <c r="O408" i="31" s="1"/>
  <c r="M408" i="31" s="1"/>
  <c r="I408" i="31" s="1"/>
  <c r="J408" i="31" s="1"/>
  <c r="P408" i="31"/>
  <c r="L408" i="31"/>
  <c r="G408" i="31"/>
  <c r="P404" i="31"/>
  <c r="M404" i="31"/>
  <c r="L404" i="31"/>
  <c r="P403" i="31"/>
  <c r="L403" i="31"/>
  <c r="P402" i="31"/>
  <c r="L402" i="31"/>
  <c r="P401" i="31"/>
  <c r="L401" i="31"/>
  <c r="P400" i="31"/>
  <c r="L400" i="31"/>
  <c r="P399" i="31"/>
  <c r="L399" i="31"/>
  <c r="P398" i="31"/>
  <c r="L398" i="31"/>
  <c r="P397" i="31"/>
  <c r="L397" i="31"/>
  <c r="P396" i="31"/>
  <c r="L396" i="31"/>
  <c r="P395" i="31"/>
  <c r="L395" i="31"/>
  <c r="P394" i="31"/>
  <c r="L394" i="31"/>
  <c r="P393" i="31"/>
  <c r="L393" i="31"/>
  <c r="P392" i="31"/>
  <c r="L392" i="31"/>
  <c r="P391" i="31"/>
  <c r="L391" i="31"/>
  <c r="P390" i="31"/>
  <c r="L390" i="31"/>
  <c r="P389" i="31"/>
  <c r="L389" i="31"/>
  <c r="P388" i="31"/>
  <c r="L388" i="31"/>
  <c r="P387" i="31"/>
  <c r="L387" i="31"/>
  <c r="P383" i="31"/>
  <c r="M383" i="31"/>
  <c r="L383" i="31"/>
  <c r="P382" i="31"/>
  <c r="L382" i="31"/>
  <c r="P381" i="31"/>
  <c r="L381" i="31"/>
  <c r="P380" i="31"/>
  <c r="L380" i="31"/>
  <c r="P379" i="31"/>
  <c r="L379" i="31"/>
  <c r="P378" i="31"/>
  <c r="L378" i="31"/>
  <c r="P377" i="31"/>
  <c r="L377" i="31"/>
  <c r="P376" i="31"/>
  <c r="L376" i="31"/>
  <c r="P375" i="31"/>
  <c r="L375" i="31"/>
  <c r="P374" i="31"/>
  <c r="L374" i="31"/>
  <c r="P373" i="31"/>
  <c r="L373" i="31"/>
  <c r="P372" i="31"/>
  <c r="L372" i="31"/>
  <c r="P371" i="31"/>
  <c r="L371" i="31"/>
  <c r="D370" i="31"/>
  <c r="P367" i="31"/>
  <c r="M367" i="31"/>
  <c r="L367" i="31"/>
  <c r="P366" i="31"/>
  <c r="L366" i="31"/>
  <c r="P365" i="31"/>
  <c r="L365" i="31"/>
  <c r="P364" i="31"/>
  <c r="L364" i="31"/>
  <c r="P363" i="31"/>
  <c r="L363" i="31"/>
  <c r="P362" i="31"/>
  <c r="L362" i="31"/>
  <c r="P361" i="31"/>
  <c r="L361" i="31"/>
  <c r="P360" i="31"/>
  <c r="L360" i="31"/>
  <c r="P359" i="31"/>
  <c r="L359" i="31"/>
  <c r="P358" i="31"/>
  <c r="L358" i="31"/>
  <c r="P357" i="31"/>
  <c r="L357" i="31"/>
  <c r="P356" i="31"/>
  <c r="L356" i="31"/>
  <c r="P355" i="31"/>
  <c r="L355" i="31"/>
  <c r="P354" i="31"/>
  <c r="L354" i="31"/>
  <c r="P353" i="31"/>
  <c r="L353" i="31"/>
  <c r="P352" i="31"/>
  <c r="L352" i="31"/>
  <c r="P351" i="31"/>
  <c r="L351" i="31"/>
  <c r="P350" i="31"/>
  <c r="L350" i="31"/>
  <c r="D349" i="31"/>
  <c r="P346" i="31"/>
  <c r="M346" i="31"/>
  <c r="L346" i="31"/>
  <c r="J346" i="31"/>
  <c r="P345" i="31"/>
  <c r="L345" i="31"/>
  <c r="P344" i="31"/>
  <c r="L344" i="31"/>
  <c r="P340" i="31"/>
  <c r="M340" i="31"/>
  <c r="I340" i="31" s="1"/>
  <c r="J340" i="31" s="1"/>
  <c r="L340" i="31"/>
  <c r="P339" i="31"/>
  <c r="L339" i="31"/>
  <c r="F338" i="31"/>
  <c r="E338" i="31"/>
  <c r="D338" i="31"/>
  <c r="P335" i="31"/>
  <c r="M335" i="31"/>
  <c r="L335" i="31"/>
  <c r="P334" i="31"/>
  <c r="M334" i="31"/>
  <c r="L334" i="31"/>
  <c r="I334" i="31" s="1"/>
  <c r="J334" i="31"/>
  <c r="P333" i="31"/>
  <c r="M333" i="31"/>
  <c r="L333" i="31"/>
  <c r="I333" i="31"/>
  <c r="J333" i="31" s="1"/>
  <c r="P332" i="31"/>
  <c r="M332" i="31"/>
  <c r="L332" i="31"/>
  <c r="P331" i="31"/>
  <c r="M331" i="31"/>
  <c r="L331" i="31"/>
  <c r="P330" i="31"/>
  <c r="M330" i="31"/>
  <c r="L330" i="31"/>
  <c r="P329" i="31"/>
  <c r="M329" i="31"/>
  <c r="I329" i="31" s="1"/>
  <c r="J329" i="31" s="1"/>
  <c r="L329" i="31"/>
  <c r="P328" i="31"/>
  <c r="M328" i="31"/>
  <c r="I328" i="31" s="1"/>
  <c r="J328" i="31" s="1"/>
  <c r="L328" i="31"/>
  <c r="P327" i="31"/>
  <c r="M327" i="31"/>
  <c r="L327" i="31"/>
  <c r="P326" i="31"/>
  <c r="M326" i="31"/>
  <c r="L326" i="31"/>
  <c r="I326" i="31" s="1"/>
  <c r="J326" i="31"/>
  <c r="P325" i="31"/>
  <c r="M325" i="31"/>
  <c r="L325" i="31"/>
  <c r="I325" i="31"/>
  <c r="J325" i="31" s="1"/>
  <c r="P324" i="31"/>
  <c r="M324" i="31"/>
  <c r="L324" i="31"/>
  <c r="P323" i="31"/>
  <c r="M323" i="31"/>
  <c r="L323" i="31"/>
  <c r="P322" i="31"/>
  <c r="M322" i="31"/>
  <c r="L322" i="31"/>
  <c r="P321" i="31"/>
  <c r="M321" i="31"/>
  <c r="I321" i="31" s="1"/>
  <c r="J321" i="31" s="1"/>
  <c r="L321" i="31"/>
  <c r="P320" i="31"/>
  <c r="M320" i="31"/>
  <c r="I320" i="31" s="1"/>
  <c r="J320" i="31" s="1"/>
  <c r="L320" i="31"/>
  <c r="P319" i="31"/>
  <c r="M319" i="31"/>
  <c r="L319" i="31"/>
  <c r="P318" i="31"/>
  <c r="M318" i="31"/>
  <c r="L318" i="31"/>
  <c r="I318" i="31" s="1"/>
  <c r="J318" i="31"/>
  <c r="P312" i="31"/>
  <c r="M312" i="31"/>
  <c r="L312" i="31"/>
  <c r="I312" i="31" s="1"/>
  <c r="J312" i="31" s="1"/>
  <c r="S311" i="31"/>
  <c r="O311" i="31" s="1"/>
  <c r="M311" i="31" s="1"/>
  <c r="I311" i="31" s="1"/>
  <c r="J311" i="31" s="1"/>
  <c r="J314" i="31" s="1"/>
  <c r="P311" i="31"/>
  <c r="L311" i="31"/>
  <c r="G311" i="31"/>
  <c r="P307" i="31"/>
  <c r="M307" i="31"/>
  <c r="L307" i="31"/>
  <c r="P306" i="31"/>
  <c r="L306" i="31"/>
  <c r="P305" i="31"/>
  <c r="L305" i="31"/>
  <c r="P304" i="31"/>
  <c r="L304" i="31"/>
  <c r="P303" i="31"/>
  <c r="L303" i="31"/>
  <c r="P302" i="31"/>
  <c r="L302" i="31"/>
  <c r="P301" i="31"/>
  <c r="L301" i="31"/>
  <c r="P300" i="31"/>
  <c r="L300" i="31"/>
  <c r="P299" i="31"/>
  <c r="L299" i="31"/>
  <c r="P298" i="31"/>
  <c r="L298" i="31"/>
  <c r="P297" i="31"/>
  <c r="L297" i="31"/>
  <c r="P296" i="31"/>
  <c r="L296" i="31"/>
  <c r="P295" i="31"/>
  <c r="L295" i="31"/>
  <c r="P294" i="31"/>
  <c r="L294" i="31"/>
  <c r="P293" i="31"/>
  <c r="L293" i="31"/>
  <c r="P292" i="31"/>
  <c r="L292" i="31"/>
  <c r="P291" i="31"/>
  <c r="L291" i="31"/>
  <c r="P290" i="31"/>
  <c r="L290" i="31"/>
  <c r="P286" i="31"/>
  <c r="M286" i="31"/>
  <c r="L286" i="31"/>
  <c r="P285" i="31"/>
  <c r="L285" i="31"/>
  <c r="P284" i="31"/>
  <c r="L284" i="31"/>
  <c r="P283" i="31"/>
  <c r="L283" i="31"/>
  <c r="P282" i="31"/>
  <c r="L282" i="31"/>
  <c r="P281" i="31"/>
  <c r="L281" i="31"/>
  <c r="P280" i="31"/>
  <c r="L280" i="31"/>
  <c r="P279" i="31"/>
  <c r="L279" i="31"/>
  <c r="P278" i="31"/>
  <c r="L278" i="31"/>
  <c r="P277" i="31"/>
  <c r="L277" i="31"/>
  <c r="P276" i="31"/>
  <c r="L276" i="31"/>
  <c r="P275" i="31"/>
  <c r="L275" i="31"/>
  <c r="P274" i="31"/>
  <c r="L274" i="31"/>
  <c r="D273" i="31"/>
  <c r="P270" i="31"/>
  <c r="M270" i="31"/>
  <c r="L270" i="31"/>
  <c r="P269" i="31"/>
  <c r="L269" i="31"/>
  <c r="P268" i="31"/>
  <c r="L268" i="31"/>
  <c r="P267" i="31"/>
  <c r="L267" i="31"/>
  <c r="P266" i="31"/>
  <c r="L266" i="31"/>
  <c r="P265" i="31"/>
  <c r="L265" i="31"/>
  <c r="P264" i="31"/>
  <c r="L264" i="31"/>
  <c r="P263" i="31"/>
  <c r="L263" i="31"/>
  <c r="P262" i="31"/>
  <c r="L262" i="31"/>
  <c r="P261" i="31"/>
  <c r="L261" i="31"/>
  <c r="P260" i="31"/>
  <c r="L260" i="31"/>
  <c r="P259" i="31"/>
  <c r="L259" i="31"/>
  <c r="P258" i="31"/>
  <c r="L258" i="31"/>
  <c r="P257" i="31"/>
  <c r="L257" i="31"/>
  <c r="P256" i="31"/>
  <c r="L256" i="31"/>
  <c r="P255" i="31"/>
  <c r="L255" i="31"/>
  <c r="P254" i="31"/>
  <c r="L254" i="31"/>
  <c r="P253" i="31"/>
  <c r="L253" i="31"/>
  <c r="D252" i="31"/>
  <c r="P249" i="31"/>
  <c r="M249" i="31"/>
  <c r="L249" i="31"/>
  <c r="J249" i="31"/>
  <c r="P248" i="31"/>
  <c r="L248" i="31"/>
  <c r="P247" i="31"/>
  <c r="L247" i="31"/>
  <c r="P243" i="31"/>
  <c r="M243" i="31"/>
  <c r="L243" i="31"/>
  <c r="P242" i="31"/>
  <c r="L242" i="31"/>
  <c r="F241" i="31"/>
  <c r="E241" i="31"/>
  <c r="D241" i="31"/>
  <c r="P238" i="31"/>
  <c r="M238" i="31"/>
  <c r="L238" i="31"/>
  <c r="P237" i="31"/>
  <c r="M237" i="31"/>
  <c r="L237" i="31"/>
  <c r="I237" i="31"/>
  <c r="J237" i="31" s="1"/>
  <c r="P236" i="31"/>
  <c r="M236" i="31"/>
  <c r="L236" i="31"/>
  <c r="I236" i="31" s="1"/>
  <c r="J236" i="31" s="1"/>
  <c r="P235" i="31"/>
  <c r="M235" i="31"/>
  <c r="L235" i="31"/>
  <c r="P234" i="31"/>
  <c r="M234" i="31"/>
  <c r="L234" i="31"/>
  <c r="P233" i="31"/>
  <c r="M233" i="31"/>
  <c r="L233" i="31"/>
  <c r="I233" i="31"/>
  <c r="J233" i="31" s="1"/>
  <c r="P232" i="31"/>
  <c r="M232" i="31"/>
  <c r="L232" i="31"/>
  <c r="I232" i="31" s="1"/>
  <c r="J232" i="31" s="1"/>
  <c r="P231" i="31"/>
  <c r="M231" i="31"/>
  <c r="L231" i="31"/>
  <c r="I231" i="31" s="1"/>
  <c r="J231" i="31" s="1"/>
  <c r="P230" i="31"/>
  <c r="M230" i="31"/>
  <c r="I230" i="31" s="1"/>
  <c r="J230" i="31" s="1"/>
  <c r="L230" i="31"/>
  <c r="P229" i="31"/>
  <c r="M229" i="31"/>
  <c r="L229" i="31"/>
  <c r="I229" i="31" s="1"/>
  <c r="J229" i="31" s="1"/>
  <c r="P228" i="31"/>
  <c r="M228" i="31"/>
  <c r="L228" i="31"/>
  <c r="I228" i="31" s="1"/>
  <c r="J228" i="31" s="1"/>
  <c r="P222" i="31"/>
  <c r="M222" i="31"/>
  <c r="L222" i="31"/>
  <c r="I222" i="31" s="1"/>
  <c r="J222" i="31" s="1"/>
  <c r="S221" i="31"/>
  <c r="O221" i="31" s="1"/>
  <c r="M221" i="31" s="1"/>
  <c r="I221" i="31" s="1"/>
  <c r="J221" i="31" s="1"/>
  <c r="J224" i="31" s="1"/>
  <c r="P221" i="31"/>
  <c r="L221" i="31"/>
  <c r="G221" i="31"/>
  <c r="P217" i="31"/>
  <c r="M217" i="31"/>
  <c r="L217" i="31"/>
  <c r="P216" i="31"/>
  <c r="L216" i="31"/>
  <c r="P215" i="31"/>
  <c r="L215" i="31"/>
  <c r="P214" i="31"/>
  <c r="L214" i="31"/>
  <c r="P213" i="31"/>
  <c r="L213" i="31"/>
  <c r="P212" i="31"/>
  <c r="L212" i="31"/>
  <c r="P211" i="31"/>
  <c r="L211" i="31"/>
  <c r="P210" i="31"/>
  <c r="L210" i="31"/>
  <c r="P209" i="31"/>
  <c r="L209" i="31"/>
  <c r="P208" i="31"/>
  <c r="L208" i="31"/>
  <c r="P207" i="31"/>
  <c r="L207" i="31"/>
  <c r="P206" i="31"/>
  <c r="L206" i="31"/>
  <c r="P205" i="31"/>
  <c r="L205" i="31"/>
  <c r="P204" i="31"/>
  <c r="L204" i="31"/>
  <c r="P203" i="31"/>
  <c r="L203" i="31"/>
  <c r="P202" i="31"/>
  <c r="L202" i="31"/>
  <c r="P201" i="31"/>
  <c r="L201" i="31"/>
  <c r="P200" i="31"/>
  <c r="L200" i="31"/>
  <c r="P196" i="31"/>
  <c r="M196" i="31"/>
  <c r="I196" i="31" s="1"/>
  <c r="J196" i="31" s="1"/>
  <c r="L196" i="31"/>
  <c r="P195" i="31"/>
  <c r="L195" i="31"/>
  <c r="P194" i="31"/>
  <c r="L194" i="31"/>
  <c r="P193" i="31"/>
  <c r="L193" i="31"/>
  <c r="P192" i="31"/>
  <c r="L192" i="31"/>
  <c r="P191" i="31"/>
  <c r="L191" i="31"/>
  <c r="P190" i="31"/>
  <c r="L190" i="31"/>
  <c r="P189" i="31"/>
  <c r="L189" i="31"/>
  <c r="P188" i="31"/>
  <c r="L188" i="31"/>
  <c r="P187" i="31"/>
  <c r="L187" i="31"/>
  <c r="P186" i="31"/>
  <c r="L186" i="31"/>
  <c r="P185" i="31"/>
  <c r="L185" i="31"/>
  <c r="P184" i="31"/>
  <c r="L184" i="31"/>
  <c r="D183" i="31"/>
  <c r="P180" i="31"/>
  <c r="M180" i="31"/>
  <c r="L180" i="31"/>
  <c r="P179" i="31"/>
  <c r="L179" i="31"/>
  <c r="P178" i="31"/>
  <c r="L178" i="31"/>
  <c r="P177" i="31"/>
  <c r="L177" i="31"/>
  <c r="P176" i="31"/>
  <c r="L176" i="31"/>
  <c r="P175" i="31"/>
  <c r="L175" i="31"/>
  <c r="P174" i="31"/>
  <c r="L174" i="31"/>
  <c r="P173" i="31"/>
  <c r="L173" i="31"/>
  <c r="P172" i="31"/>
  <c r="L172" i="31"/>
  <c r="P171" i="31"/>
  <c r="L171" i="31"/>
  <c r="P170" i="31"/>
  <c r="L170" i="31"/>
  <c r="P169" i="31"/>
  <c r="L169" i="31"/>
  <c r="P168" i="31"/>
  <c r="L168" i="31"/>
  <c r="P167" i="31"/>
  <c r="L167" i="31"/>
  <c r="P166" i="31"/>
  <c r="L166" i="31"/>
  <c r="P165" i="31"/>
  <c r="L165" i="31"/>
  <c r="P164" i="31"/>
  <c r="L164" i="31"/>
  <c r="P163" i="31"/>
  <c r="L163" i="31"/>
  <c r="D162" i="31"/>
  <c r="P159" i="31"/>
  <c r="M159" i="31"/>
  <c r="L159" i="31"/>
  <c r="J159" i="31"/>
  <c r="P158" i="31"/>
  <c r="L158" i="31"/>
  <c r="P157" i="31"/>
  <c r="L157" i="31"/>
  <c r="P153" i="31"/>
  <c r="M153" i="31"/>
  <c r="L153" i="31"/>
  <c r="P152" i="31"/>
  <c r="L152" i="31"/>
  <c r="F151" i="31"/>
  <c r="E151" i="31"/>
  <c r="D151" i="31"/>
  <c r="P148" i="31"/>
  <c r="M148" i="31"/>
  <c r="I148" i="31" s="1"/>
  <c r="J148" i="31" s="1"/>
  <c r="L148" i="31"/>
  <c r="P147" i="31"/>
  <c r="M147" i="31"/>
  <c r="L147" i="31"/>
  <c r="I147" i="31" s="1"/>
  <c r="J147" i="31" s="1"/>
  <c r="P146" i="31"/>
  <c r="M146" i="31"/>
  <c r="L146" i="31"/>
  <c r="I146" i="31" s="1"/>
  <c r="J146" i="31" s="1"/>
  <c r="P145" i="31"/>
  <c r="M145" i="31"/>
  <c r="L145" i="31"/>
  <c r="I145" i="31" s="1"/>
  <c r="J145" i="31" s="1"/>
  <c r="P144" i="31"/>
  <c r="M144" i="31"/>
  <c r="L144" i="31"/>
  <c r="P143" i="31"/>
  <c r="M143" i="31"/>
  <c r="I143" i="31" s="1"/>
  <c r="J143" i="31" s="1"/>
  <c r="L143" i="31"/>
  <c r="P142" i="31"/>
  <c r="M142" i="31"/>
  <c r="L142" i="31"/>
  <c r="P141" i="31"/>
  <c r="M141" i="31"/>
  <c r="L141" i="31"/>
  <c r="I141" i="31" s="1"/>
  <c r="J141" i="31" s="1"/>
  <c r="P140" i="31"/>
  <c r="M140" i="31"/>
  <c r="L140" i="31"/>
  <c r="P139" i="31"/>
  <c r="M139" i="31"/>
  <c r="L139" i="31"/>
  <c r="I139" i="31"/>
  <c r="J139" i="31" s="1"/>
  <c r="P138" i="31"/>
  <c r="M138" i="31"/>
  <c r="L138" i="31"/>
  <c r="I138" i="31" s="1"/>
  <c r="J138" i="31" s="1"/>
  <c r="P132" i="31"/>
  <c r="M132" i="31"/>
  <c r="L132" i="31"/>
  <c r="S131" i="31"/>
  <c r="P131" i="31"/>
  <c r="O131" i="31"/>
  <c r="M131" i="31" s="1"/>
  <c r="I131" i="31" s="1"/>
  <c r="J131" i="31" s="1"/>
  <c r="L131" i="31"/>
  <c r="G131" i="31"/>
  <c r="P127" i="31"/>
  <c r="M127" i="31"/>
  <c r="L127" i="31"/>
  <c r="P126" i="31"/>
  <c r="L126" i="31"/>
  <c r="P125" i="31"/>
  <c r="L125" i="31"/>
  <c r="P124" i="31"/>
  <c r="L124" i="31"/>
  <c r="P123" i="31"/>
  <c r="L123" i="31"/>
  <c r="P122" i="31"/>
  <c r="L122" i="31"/>
  <c r="P121" i="31"/>
  <c r="L121" i="31"/>
  <c r="P120" i="31"/>
  <c r="L120" i="31"/>
  <c r="P119" i="31"/>
  <c r="L119" i="31"/>
  <c r="P118" i="31"/>
  <c r="L118" i="31"/>
  <c r="P117" i="31"/>
  <c r="L117" i="31"/>
  <c r="P116" i="31"/>
  <c r="L116" i="31"/>
  <c r="P115" i="31"/>
  <c r="L115" i="31"/>
  <c r="P114" i="31"/>
  <c r="L114" i="31"/>
  <c r="P113" i="31"/>
  <c r="L113" i="31"/>
  <c r="P112" i="31"/>
  <c r="L112" i="31"/>
  <c r="P111" i="31"/>
  <c r="L111" i="31"/>
  <c r="P110" i="31"/>
  <c r="L110" i="31"/>
  <c r="P106" i="31"/>
  <c r="M106" i="31"/>
  <c r="L106" i="31"/>
  <c r="P105" i="31"/>
  <c r="L105" i="31"/>
  <c r="P104" i="31"/>
  <c r="L104" i="31"/>
  <c r="P103" i="31"/>
  <c r="L103" i="31"/>
  <c r="P102" i="31"/>
  <c r="L102" i="31"/>
  <c r="P101" i="31"/>
  <c r="L101" i="31"/>
  <c r="P100" i="31"/>
  <c r="L100" i="31"/>
  <c r="P99" i="31"/>
  <c r="L99" i="31"/>
  <c r="P98" i="31"/>
  <c r="L98" i="31"/>
  <c r="P97" i="31"/>
  <c r="L97" i="31"/>
  <c r="P96" i="31"/>
  <c r="L96" i="31"/>
  <c r="P95" i="31"/>
  <c r="L95" i="31"/>
  <c r="P94" i="31"/>
  <c r="L94" i="31"/>
  <c r="P93" i="31"/>
  <c r="L93" i="31"/>
  <c r="P92" i="31"/>
  <c r="L92" i="31"/>
  <c r="P91" i="31"/>
  <c r="L91" i="31"/>
  <c r="D90" i="31"/>
  <c r="P87" i="31"/>
  <c r="M87" i="31"/>
  <c r="L87" i="31"/>
  <c r="P86" i="31"/>
  <c r="L86" i="31"/>
  <c r="P85" i="31"/>
  <c r="L85" i="31"/>
  <c r="P84" i="31"/>
  <c r="L84" i="31"/>
  <c r="P83" i="31"/>
  <c r="L83" i="31"/>
  <c r="P82" i="31"/>
  <c r="L82" i="31"/>
  <c r="P81" i="31"/>
  <c r="L81" i="31"/>
  <c r="P80" i="31"/>
  <c r="L80" i="31"/>
  <c r="P79" i="31"/>
  <c r="L79" i="31"/>
  <c r="P78" i="31"/>
  <c r="L78" i="31"/>
  <c r="P77" i="31"/>
  <c r="L77" i="31"/>
  <c r="P76" i="31"/>
  <c r="L76" i="31"/>
  <c r="P75" i="31"/>
  <c r="L75" i="31"/>
  <c r="P74" i="31"/>
  <c r="L74" i="31"/>
  <c r="P73" i="31"/>
  <c r="L73" i="31"/>
  <c r="P72" i="31"/>
  <c r="L72" i="31"/>
  <c r="D71" i="31"/>
  <c r="P68" i="31"/>
  <c r="M68" i="31"/>
  <c r="L68" i="31"/>
  <c r="P67" i="31"/>
  <c r="L67" i="31"/>
  <c r="P66" i="31"/>
  <c r="L66" i="31"/>
  <c r="P65" i="31"/>
  <c r="L65" i="31"/>
  <c r="P64" i="31"/>
  <c r="L64" i="31"/>
  <c r="P63" i="31"/>
  <c r="L63" i="31"/>
  <c r="P62" i="31"/>
  <c r="L62" i="31"/>
  <c r="P61" i="31"/>
  <c r="L61" i="31"/>
  <c r="P60" i="31"/>
  <c r="L60" i="31"/>
  <c r="P59" i="31"/>
  <c r="L59" i="31"/>
  <c r="D58" i="31"/>
  <c r="P55" i="31"/>
  <c r="M55" i="31"/>
  <c r="L55" i="31"/>
  <c r="P54" i="31"/>
  <c r="L54" i="31"/>
  <c r="P53" i="31"/>
  <c r="L53" i="31"/>
  <c r="P52" i="31"/>
  <c r="L52" i="31"/>
  <c r="P51" i="31"/>
  <c r="L51" i="31"/>
  <c r="P50" i="31"/>
  <c r="L50" i="31"/>
  <c r="P49" i="31"/>
  <c r="L49" i="31"/>
  <c r="P48" i="31"/>
  <c r="L48" i="31"/>
  <c r="P47" i="31"/>
  <c r="L47" i="31"/>
  <c r="P46" i="31"/>
  <c r="L46" i="31"/>
  <c r="P45" i="31"/>
  <c r="L45" i="31"/>
  <c r="P44" i="31"/>
  <c r="L44" i="31"/>
  <c r="P43" i="31"/>
  <c r="L43" i="31"/>
  <c r="P42" i="31"/>
  <c r="L42" i="31"/>
  <c r="P41" i="31"/>
  <c r="L41" i="31"/>
  <c r="P40" i="31"/>
  <c r="L40" i="31"/>
  <c r="P39" i="31"/>
  <c r="L39" i="31"/>
  <c r="P38" i="31"/>
  <c r="L38" i="31"/>
  <c r="P37" i="31"/>
  <c r="L37" i="31"/>
  <c r="D36" i="31"/>
  <c r="P33" i="31"/>
  <c r="M33" i="31"/>
  <c r="L33" i="31"/>
  <c r="J33" i="31"/>
  <c r="P32" i="31"/>
  <c r="L32" i="31"/>
  <c r="P31" i="31"/>
  <c r="L31" i="31"/>
  <c r="P27" i="31"/>
  <c r="M27" i="31"/>
  <c r="L27" i="31"/>
  <c r="P26" i="31"/>
  <c r="L26" i="31"/>
  <c r="F25" i="31"/>
  <c r="E25" i="31"/>
  <c r="D25" i="31"/>
  <c r="P22" i="31"/>
  <c r="M22" i="31"/>
  <c r="L22" i="31"/>
  <c r="I22" i="31" s="1"/>
  <c r="J22" i="31" s="1"/>
  <c r="P21" i="31"/>
  <c r="M21" i="31"/>
  <c r="I21" i="31" s="1"/>
  <c r="J21" i="31" s="1"/>
  <c r="L21" i="31"/>
  <c r="P20" i="31"/>
  <c r="M20" i="31"/>
  <c r="I20" i="31" s="1"/>
  <c r="J20" i="31" s="1"/>
  <c r="L20" i="31"/>
  <c r="P19" i="31"/>
  <c r="M19" i="31"/>
  <c r="L19" i="31"/>
  <c r="I19" i="31" s="1"/>
  <c r="J19" i="31" s="1"/>
  <c r="P18" i="31"/>
  <c r="M18" i="31"/>
  <c r="L18" i="31"/>
  <c r="I18" i="31" s="1"/>
  <c r="J18" i="31" s="1"/>
  <c r="P17" i="31"/>
  <c r="M17" i="31"/>
  <c r="L17" i="31"/>
  <c r="I17" i="31"/>
  <c r="J17" i="31" s="1"/>
  <c r="P16" i="31"/>
  <c r="M16" i="31"/>
  <c r="L16" i="31"/>
  <c r="P15" i="31"/>
  <c r="M15" i="31"/>
  <c r="L15" i="31"/>
  <c r="P14" i="31"/>
  <c r="M14" i="31"/>
  <c r="L14" i="31"/>
  <c r="I14" i="31" s="1"/>
  <c r="J14" i="31" s="1"/>
  <c r="P13" i="31"/>
  <c r="M13" i="31"/>
  <c r="L13" i="31"/>
  <c r="I13" i="31"/>
  <c r="J13" i="31" s="1"/>
  <c r="P12" i="31"/>
  <c r="M12" i="31"/>
  <c r="L12" i="31"/>
  <c r="P11" i="31"/>
  <c r="M11" i="31"/>
  <c r="L11" i="31"/>
  <c r="A11" i="31"/>
  <c r="P10" i="31"/>
  <c r="M10" i="31"/>
  <c r="L10" i="31"/>
  <c r="I10" i="31" s="1"/>
  <c r="J10" i="31" s="1"/>
  <c r="A10" i="31"/>
  <c r="P9" i="31"/>
  <c r="M9" i="31"/>
  <c r="L9" i="31"/>
  <c r="I9" i="31"/>
  <c r="J9" i="31" s="1"/>
  <c r="P8" i="31"/>
  <c r="M8" i="31"/>
  <c r="L8" i="31"/>
  <c r="A8" i="31"/>
  <c r="B8" i="31" s="1"/>
  <c r="Q7" i="31"/>
  <c r="B7" i="31"/>
  <c r="A7" i="31"/>
  <c r="B6" i="31"/>
  <c r="M583" i="31" l="1"/>
  <c r="I583" i="31" s="1"/>
  <c r="J583" i="31" s="1"/>
  <c r="M589" i="31"/>
  <c r="I589" i="31" s="1"/>
  <c r="J589" i="31" s="1"/>
  <c r="M590" i="31"/>
  <c r="I590" i="31" s="1"/>
  <c r="J590" i="31" s="1"/>
  <c r="M549" i="31"/>
  <c r="I549" i="31" s="1"/>
  <c r="J549" i="31" s="1"/>
  <c r="M482" i="31"/>
  <c r="I482" i="31" s="1"/>
  <c r="J482" i="31" s="1"/>
  <c r="M479" i="31"/>
  <c r="I479" i="31" s="1"/>
  <c r="J479" i="31" s="1"/>
  <c r="M562" i="31"/>
  <c r="I562" i="31" s="1"/>
  <c r="J562" i="31" s="1"/>
  <c r="M578" i="31"/>
  <c r="I578" i="31" s="1"/>
  <c r="J578" i="31" s="1"/>
  <c r="M542" i="31"/>
  <c r="I542" i="31" s="1"/>
  <c r="J542" i="31" s="1"/>
  <c r="M550" i="31"/>
  <c r="I550" i="31" s="1"/>
  <c r="J550" i="31" s="1"/>
  <c r="M552" i="31"/>
  <c r="I552" i="31" s="1"/>
  <c r="J552" i="31" s="1"/>
  <c r="M456" i="31"/>
  <c r="I456" i="31" s="1"/>
  <c r="J456" i="31" s="1"/>
  <c r="M483" i="31"/>
  <c r="I483" i="31" s="1"/>
  <c r="J483" i="31" s="1"/>
  <c r="M485" i="31"/>
  <c r="I485" i="31" s="1"/>
  <c r="J485" i="31" s="1"/>
  <c r="M442" i="31"/>
  <c r="I442" i="31" s="1"/>
  <c r="J442" i="31" s="1"/>
  <c r="M397" i="31"/>
  <c r="I397" i="31" s="1"/>
  <c r="J397" i="31" s="1"/>
  <c r="M491" i="31"/>
  <c r="I491" i="31" s="1"/>
  <c r="J491" i="31" s="1"/>
  <c r="M543" i="31"/>
  <c r="I543" i="31" s="1"/>
  <c r="J543" i="31" s="1"/>
  <c r="M547" i="31"/>
  <c r="I547" i="31" s="1"/>
  <c r="J547" i="31" s="1"/>
  <c r="M579" i="31"/>
  <c r="I579" i="31" s="1"/>
  <c r="J579" i="31" s="1"/>
  <c r="M462" i="31"/>
  <c r="I462" i="31" s="1"/>
  <c r="J462" i="31" s="1"/>
  <c r="M401" i="31"/>
  <c r="I401" i="31" s="1"/>
  <c r="J401" i="31" s="1"/>
  <c r="M446" i="31"/>
  <c r="I446" i="31" s="1"/>
  <c r="J446" i="31" s="1"/>
  <c r="M450" i="31"/>
  <c r="I450" i="31" s="1"/>
  <c r="J450" i="31" s="1"/>
  <c r="M466" i="31"/>
  <c r="I466" i="31" s="1"/>
  <c r="J466" i="31" s="1"/>
  <c r="M478" i="31"/>
  <c r="I478" i="31" s="1"/>
  <c r="J478" i="31" s="1"/>
  <c r="M486" i="31"/>
  <c r="I486" i="31" s="1"/>
  <c r="J486" i="31" s="1"/>
  <c r="M350" i="31"/>
  <c r="I350" i="31" s="1"/>
  <c r="J350" i="31" s="1"/>
  <c r="M403" i="31"/>
  <c r="I403" i="31" s="1"/>
  <c r="J403" i="31" s="1"/>
  <c r="M587" i="31"/>
  <c r="I587" i="31" s="1"/>
  <c r="J587" i="31" s="1"/>
  <c r="M551" i="31"/>
  <c r="I551" i="31" s="1"/>
  <c r="J551" i="31" s="1"/>
  <c r="M305" i="31"/>
  <c r="I305" i="31" s="1"/>
  <c r="J305" i="31" s="1"/>
  <c r="M390" i="31"/>
  <c r="I390" i="31" s="1"/>
  <c r="J390" i="31" s="1"/>
  <c r="M291" i="31"/>
  <c r="I291" i="31" s="1"/>
  <c r="J291" i="31" s="1"/>
  <c r="M295" i="31"/>
  <c r="I295" i="31" s="1"/>
  <c r="J295" i="31" s="1"/>
  <c r="M344" i="31"/>
  <c r="I344" i="31" s="1"/>
  <c r="J344" i="31" s="1"/>
  <c r="M362" i="31"/>
  <c r="I362" i="31" s="1"/>
  <c r="J362" i="31" s="1"/>
  <c r="M374" i="31"/>
  <c r="I374" i="31" s="1"/>
  <c r="J374" i="31" s="1"/>
  <c r="M167" i="31"/>
  <c r="I167" i="31" s="1"/>
  <c r="J167" i="31" s="1"/>
  <c r="M489" i="31"/>
  <c r="I489" i="31" s="1"/>
  <c r="J489" i="31" s="1"/>
  <c r="M526" i="31"/>
  <c r="I526" i="31" s="1"/>
  <c r="J526" i="31" s="1"/>
  <c r="M366" i="31"/>
  <c r="I366" i="31" s="1"/>
  <c r="J366" i="31" s="1"/>
  <c r="M376" i="31"/>
  <c r="I376" i="31" s="1"/>
  <c r="J376" i="31" s="1"/>
  <c r="M380" i="31"/>
  <c r="I380" i="31" s="1"/>
  <c r="J380" i="31" s="1"/>
  <c r="M382" i="31"/>
  <c r="I382" i="31" s="1"/>
  <c r="J382" i="31" s="1"/>
  <c r="M389" i="31"/>
  <c r="I389" i="31" s="1"/>
  <c r="J389" i="31" s="1"/>
  <c r="M441" i="31"/>
  <c r="I441" i="31" s="1"/>
  <c r="J441" i="31" s="1"/>
  <c r="M444" i="31"/>
  <c r="I444" i="31" s="1"/>
  <c r="J444" i="31" s="1"/>
  <c r="M445" i="31"/>
  <c r="I445" i="31" s="1"/>
  <c r="J445" i="31" s="1"/>
  <c r="M449" i="31"/>
  <c r="I449" i="31" s="1"/>
  <c r="J449" i="31" s="1"/>
  <c r="M455" i="31"/>
  <c r="I455" i="31" s="1"/>
  <c r="J455" i="31" s="1"/>
  <c r="M461" i="31"/>
  <c r="I461" i="31" s="1"/>
  <c r="J461" i="31" s="1"/>
  <c r="M465" i="31"/>
  <c r="I465" i="31" s="1"/>
  <c r="J465" i="31" s="1"/>
  <c r="M468" i="31"/>
  <c r="I468" i="31" s="1"/>
  <c r="J468" i="31" s="1"/>
  <c r="M469" i="31"/>
  <c r="I469" i="31" s="1"/>
  <c r="J469" i="31" s="1"/>
  <c r="M471" i="31"/>
  <c r="I471" i="31" s="1"/>
  <c r="J471" i="31" s="1"/>
  <c r="M477" i="31"/>
  <c r="I477" i="31" s="1"/>
  <c r="J477" i="31" s="1"/>
  <c r="M481" i="31"/>
  <c r="I481" i="31" s="1"/>
  <c r="J481" i="31" s="1"/>
  <c r="M539" i="31"/>
  <c r="I539" i="31" s="1"/>
  <c r="J539" i="31" s="1"/>
  <c r="M540" i="31"/>
  <c r="I540" i="31" s="1"/>
  <c r="J540" i="31" s="1"/>
  <c r="M544" i="31"/>
  <c r="I544" i="31" s="1"/>
  <c r="J544" i="31" s="1"/>
  <c r="M548" i="31"/>
  <c r="I548" i="31" s="1"/>
  <c r="J548" i="31" s="1"/>
  <c r="M559" i="31"/>
  <c r="I559" i="31" s="1"/>
  <c r="J559" i="31" s="1"/>
  <c r="M560" i="31"/>
  <c r="I560" i="31" s="1"/>
  <c r="J560" i="31" s="1"/>
  <c r="M563" i="31"/>
  <c r="I563" i="31" s="1"/>
  <c r="J563" i="31" s="1"/>
  <c r="M564" i="31"/>
  <c r="I564" i="31" s="1"/>
  <c r="J564" i="31" s="1"/>
  <c r="M567" i="31"/>
  <c r="I567" i="31" s="1"/>
  <c r="J567" i="31" s="1"/>
  <c r="M575" i="31"/>
  <c r="I575" i="31" s="1"/>
  <c r="J575" i="31" s="1"/>
  <c r="M452" i="31"/>
  <c r="I452" i="31" s="1"/>
  <c r="J452" i="31" s="1"/>
  <c r="M493" i="31"/>
  <c r="I493" i="31" s="1"/>
  <c r="J493" i="31" s="1"/>
  <c r="M569" i="31"/>
  <c r="I569" i="31" s="1"/>
  <c r="J569" i="31" s="1"/>
  <c r="M576" i="31"/>
  <c r="I576" i="31" s="1"/>
  <c r="J576" i="31" s="1"/>
  <c r="M580" i="31"/>
  <c r="I580" i="31" s="1"/>
  <c r="J580" i="31" s="1"/>
  <c r="M584" i="31"/>
  <c r="I584" i="31" s="1"/>
  <c r="J584" i="31" s="1"/>
  <c r="M379" i="31"/>
  <c r="I379" i="31" s="1"/>
  <c r="J379" i="31" s="1"/>
  <c r="M76" i="31"/>
  <c r="I76" i="31" s="1"/>
  <c r="J76" i="31" s="1"/>
  <c r="M388" i="31"/>
  <c r="I388" i="31" s="1"/>
  <c r="J388" i="31" s="1"/>
  <c r="M448" i="31"/>
  <c r="I448" i="31" s="1"/>
  <c r="J448" i="31" s="1"/>
  <c r="M464" i="31"/>
  <c r="I464" i="31" s="1"/>
  <c r="J464" i="31" s="1"/>
  <c r="M480" i="31"/>
  <c r="I480" i="31" s="1"/>
  <c r="J480" i="31" s="1"/>
  <c r="M484" i="31"/>
  <c r="I484" i="31" s="1"/>
  <c r="J484" i="31" s="1"/>
  <c r="M488" i="31"/>
  <c r="I488" i="31" s="1"/>
  <c r="J488" i="31" s="1"/>
  <c r="M125" i="31"/>
  <c r="I125" i="31" s="1"/>
  <c r="J125" i="31" s="1"/>
  <c r="M175" i="31"/>
  <c r="I175" i="31" s="1"/>
  <c r="J175" i="31" s="1"/>
  <c r="M299" i="31"/>
  <c r="I299" i="31" s="1"/>
  <c r="J299" i="31" s="1"/>
  <c r="M303" i="31"/>
  <c r="I303" i="31" s="1"/>
  <c r="J303" i="31" s="1"/>
  <c r="M358" i="31"/>
  <c r="I358" i="31" s="1"/>
  <c r="J358" i="31" s="1"/>
  <c r="I473" i="31"/>
  <c r="J473" i="31" s="1"/>
  <c r="I591" i="31"/>
  <c r="J591" i="31" s="1"/>
  <c r="M262" i="31"/>
  <c r="I262" i="31" s="1"/>
  <c r="J262" i="31" s="1"/>
  <c r="M274" i="31"/>
  <c r="I274" i="31" s="1"/>
  <c r="J274" i="31" s="1"/>
  <c r="M302" i="31"/>
  <c r="I302" i="31" s="1"/>
  <c r="J302" i="31" s="1"/>
  <c r="M339" i="31"/>
  <c r="I339" i="31" s="1"/>
  <c r="J339" i="31" s="1"/>
  <c r="J342" i="31" s="1"/>
  <c r="M361" i="31"/>
  <c r="I361" i="31" s="1"/>
  <c r="J361" i="31" s="1"/>
  <c r="M212" i="31"/>
  <c r="I212" i="31" s="1"/>
  <c r="J212" i="31" s="1"/>
  <c r="M276" i="31"/>
  <c r="I276" i="31" s="1"/>
  <c r="J276" i="31" s="1"/>
  <c r="M359" i="31"/>
  <c r="I359" i="31" s="1"/>
  <c r="J359" i="31" s="1"/>
  <c r="M378" i="31"/>
  <c r="I378" i="31" s="1"/>
  <c r="J378" i="31" s="1"/>
  <c r="M265" i="31"/>
  <c r="I265" i="31" s="1"/>
  <c r="J265" i="31" s="1"/>
  <c r="M356" i="31"/>
  <c r="I356" i="31" s="1"/>
  <c r="J356" i="31" s="1"/>
  <c r="M364" i="31"/>
  <c r="I364" i="31" s="1"/>
  <c r="J364" i="31" s="1"/>
  <c r="M393" i="31"/>
  <c r="I393" i="31" s="1"/>
  <c r="J393" i="31" s="1"/>
  <c r="M440" i="31"/>
  <c r="I440" i="31" s="1"/>
  <c r="J440" i="31" s="1"/>
  <c r="M453" i="31"/>
  <c r="I453" i="31" s="1"/>
  <c r="J453" i="31" s="1"/>
  <c r="M117" i="31"/>
  <c r="I117" i="31" s="1"/>
  <c r="J117" i="31" s="1"/>
  <c r="M277" i="31"/>
  <c r="I277" i="31" s="1"/>
  <c r="J277" i="31" s="1"/>
  <c r="M306" i="31"/>
  <c r="I306" i="31" s="1"/>
  <c r="J306" i="31" s="1"/>
  <c r="M352" i="31"/>
  <c r="I352" i="31" s="1"/>
  <c r="J352" i="31" s="1"/>
  <c r="M360" i="31"/>
  <c r="I360" i="31" s="1"/>
  <c r="J360" i="31" s="1"/>
  <c r="M254" i="31"/>
  <c r="I254" i="31" s="1"/>
  <c r="J254" i="31" s="1"/>
  <c r="M258" i="31"/>
  <c r="I258" i="31" s="1"/>
  <c r="J258" i="31" s="1"/>
  <c r="M268" i="31"/>
  <c r="I268" i="31" s="1"/>
  <c r="J268" i="31" s="1"/>
  <c r="M278" i="31"/>
  <c r="I278" i="31" s="1"/>
  <c r="J278" i="31" s="1"/>
  <c r="M282" i="31"/>
  <c r="I282" i="31" s="1"/>
  <c r="J282" i="31" s="1"/>
  <c r="M284" i="31"/>
  <c r="I284" i="31" s="1"/>
  <c r="J284" i="31" s="1"/>
  <c r="M290" i="31"/>
  <c r="I290" i="31" s="1"/>
  <c r="J290" i="31" s="1"/>
  <c r="M294" i="31"/>
  <c r="I294" i="31" s="1"/>
  <c r="J294" i="31" s="1"/>
  <c r="M298" i="31"/>
  <c r="I298" i="31" s="1"/>
  <c r="J298" i="31" s="1"/>
  <c r="M357" i="31"/>
  <c r="I357" i="31" s="1"/>
  <c r="J357" i="31" s="1"/>
  <c r="M80" i="31"/>
  <c r="I80" i="31" s="1"/>
  <c r="J80" i="31" s="1"/>
  <c r="M96" i="31"/>
  <c r="I96" i="31" s="1"/>
  <c r="J96" i="31" s="1"/>
  <c r="M100" i="31"/>
  <c r="I100" i="31" s="1"/>
  <c r="J100" i="31" s="1"/>
  <c r="M188" i="31"/>
  <c r="I188" i="31" s="1"/>
  <c r="J188" i="31" s="1"/>
  <c r="M192" i="31"/>
  <c r="I192" i="31" s="1"/>
  <c r="J192" i="31" s="1"/>
  <c r="M204" i="31"/>
  <c r="I204" i="31" s="1"/>
  <c r="J204" i="31" s="1"/>
  <c r="M208" i="31"/>
  <c r="I208" i="31" s="1"/>
  <c r="J208" i="31" s="1"/>
  <c r="M260" i="31"/>
  <c r="I260" i="31" s="1"/>
  <c r="J260" i="31" s="1"/>
  <c r="M264" i="31"/>
  <c r="I264" i="31" s="1"/>
  <c r="J264" i="31" s="1"/>
  <c r="M280" i="31"/>
  <c r="I280" i="31" s="1"/>
  <c r="J280" i="31" s="1"/>
  <c r="M363" i="31"/>
  <c r="I363" i="31" s="1"/>
  <c r="J363" i="31" s="1"/>
  <c r="M371" i="31"/>
  <c r="I371" i="31" s="1"/>
  <c r="J371" i="31" s="1"/>
  <c r="M395" i="31"/>
  <c r="I395" i="31" s="1"/>
  <c r="J395" i="31" s="1"/>
  <c r="M447" i="31"/>
  <c r="I447" i="31" s="1"/>
  <c r="J447" i="31" s="1"/>
  <c r="M454" i="31"/>
  <c r="I454" i="31" s="1"/>
  <c r="J454" i="31" s="1"/>
  <c r="M463" i="31"/>
  <c r="I463" i="31" s="1"/>
  <c r="J463" i="31" s="1"/>
  <c r="M467" i="31"/>
  <c r="I467" i="31" s="1"/>
  <c r="J467" i="31" s="1"/>
  <c r="M65" i="31"/>
  <c r="I65" i="31" s="1"/>
  <c r="J65" i="31" s="1"/>
  <c r="M78" i="31"/>
  <c r="I78" i="31" s="1"/>
  <c r="J78" i="31" s="1"/>
  <c r="M372" i="31"/>
  <c r="I372" i="31" s="1"/>
  <c r="J372" i="31" s="1"/>
  <c r="M375" i="31"/>
  <c r="I375" i="31" s="1"/>
  <c r="J375" i="31" s="1"/>
  <c r="M392" i="31"/>
  <c r="I392" i="31" s="1"/>
  <c r="J392" i="31" s="1"/>
  <c r="M396" i="31"/>
  <c r="I396" i="31" s="1"/>
  <c r="J396" i="31" s="1"/>
  <c r="M399" i="31"/>
  <c r="I399" i="31" s="1"/>
  <c r="J399" i="31" s="1"/>
  <c r="M400" i="31"/>
  <c r="I400" i="31" s="1"/>
  <c r="J400" i="31" s="1"/>
  <c r="M429" i="31"/>
  <c r="I429" i="31" s="1"/>
  <c r="J429" i="31" s="1"/>
  <c r="M434" i="31"/>
  <c r="I434" i="31" s="1"/>
  <c r="J434" i="31" s="1"/>
  <c r="M443" i="31"/>
  <c r="I443" i="31" s="1"/>
  <c r="J443" i="31" s="1"/>
  <c r="M451" i="31"/>
  <c r="I451" i="31" s="1"/>
  <c r="J451" i="31" s="1"/>
  <c r="M354" i="31"/>
  <c r="I354" i="31" s="1"/>
  <c r="J354" i="31" s="1"/>
  <c r="M394" i="31"/>
  <c r="I394" i="31" s="1"/>
  <c r="J394" i="31" s="1"/>
  <c r="I106" i="31"/>
  <c r="J106" i="31" s="1"/>
  <c r="M113" i="31"/>
  <c r="I113" i="31" s="1"/>
  <c r="J113" i="31" s="1"/>
  <c r="M169" i="31"/>
  <c r="I169" i="31" s="1"/>
  <c r="J169" i="31" s="1"/>
  <c r="M215" i="31"/>
  <c r="I215" i="31" s="1"/>
  <c r="J215" i="31" s="1"/>
  <c r="M247" i="31"/>
  <c r="I247" i="31" s="1"/>
  <c r="J247" i="31" s="1"/>
  <c r="M253" i="31"/>
  <c r="I253" i="31" s="1"/>
  <c r="J253" i="31" s="1"/>
  <c r="M257" i="31"/>
  <c r="I257" i="31" s="1"/>
  <c r="J257" i="31" s="1"/>
  <c r="M261" i="31"/>
  <c r="I261" i="31" s="1"/>
  <c r="J261" i="31" s="1"/>
  <c r="M281" i="31"/>
  <c r="I281" i="31" s="1"/>
  <c r="J281" i="31" s="1"/>
  <c r="M293" i="31"/>
  <c r="I293" i="31" s="1"/>
  <c r="J293" i="31" s="1"/>
  <c r="M297" i="31"/>
  <c r="I297" i="31" s="1"/>
  <c r="J297" i="31" s="1"/>
  <c r="M301" i="31"/>
  <c r="I301" i="31" s="1"/>
  <c r="J301" i="31" s="1"/>
  <c r="M304" i="31"/>
  <c r="I304" i="31" s="1"/>
  <c r="J304" i="31" s="1"/>
  <c r="M373" i="31"/>
  <c r="I373" i="31" s="1"/>
  <c r="J373" i="31" s="1"/>
  <c r="M377" i="31"/>
  <c r="I377" i="31" s="1"/>
  <c r="J377" i="31" s="1"/>
  <c r="M402" i="31"/>
  <c r="I402" i="31" s="1"/>
  <c r="J402" i="31" s="1"/>
  <c r="M92" i="31"/>
  <c r="I92" i="31" s="1"/>
  <c r="J92" i="31" s="1"/>
  <c r="M194" i="31"/>
  <c r="I194" i="31" s="1"/>
  <c r="J194" i="31" s="1"/>
  <c r="M200" i="31"/>
  <c r="I200" i="31" s="1"/>
  <c r="J200" i="31" s="1"/>
  <c r="M242" i="31"/>
  <c r="I242" i="31" s="1"/>
  <c r="J242" i="31" s="1"/>
  <c r="M256" i="31"/>
  <c r="I256" i="31" s="1"/>
  <c r="J256" i="31" s="1"/>
  <c r="M365" i="31"/>
  <c r="I365" i="31" s="1"/>
  <c r="J365" i="31" s="1"/>
  <c r="M387" i="31"/>
  <c r="I387" i="31" s="1"/>
  <c r="J387" i="31" s="1"/>
  <c r="M398" i="31"/>
  <c r="I398" i="31" s="1"/>
  <c r="J398" i="31" s="1"/>
  <c r="I217" i="31"/>
  <c r="J217" i="31" s="1"/>
  <c r="M86" i="31"/>
  <c r="I86" i="31" s="1"/>
  <c r="J86" i="31" s="1"/>
  <c r="M121" i="31"/>
  <c r="I121" i="31" s="1"/>
  <c r="J121" i="31" s="1"/>
  <c r="M165" i="31"/>
  <c r="I165" i="31" s="1"/>
  <c r="J165" i="31" s="1"/>
  <c r="M173" i="31"/>
  <c r="I173" i="31" s="1"/>
  <c r="J173" i="31" s="1"/>
  <c r="I68" i="31"/>
  <c r="J68" i="31" s="1"/>
  <c r="I307" i="31"/>
  <c r="J307" i="31" s="1"/>
  <c r="I430" i="31"/>
  <c r="J430" i="31" s="1"/>
  <c r="I270" i="31"/>
  <c r="J270" i="31" s="1"/>
  <c r="I286" i="31"/>
  <c r="J286" i="31" s="1"/>
  <c r="I383" i="31"/>
  <c r="J383" i="31" s="1"/>
  <c r="I554" i="31"/>
  <c r="J554" i="31" s="1"/>
  <c r="I570" i="31"/>
  <c r="J570" i="31" s="1"/>
  <c r="M84" i="31"/>
  <c r="I84" i="31" s="1"/>
  <c r="J84" i="31" s="1"/>
  <c r="I27" i="31"/>
  <c r="J27" i="31" s="1"/>
  <c r="I55" i="31"/>
  <c r="J55" i="31" s="1"/>
  <c r="M67" i="31"/>
  <c r="I67" i="31" s="1"/>
  <c r="J67" i="31" s="1"/>
  <c r="M74" i="31"/>
  <c r="I74" i="31" s="1"/>
  <c r="J74" i="31" s="1"/>
  <c r="M82" i="31"/>
  <c r="I82" i="31" s="1"/>
  <c r="J82" i="31" s="1"/>
  <c r="M94" i="31"/>
  <c r="I94" i="31" s="1"/>
  <c r="J94" i="31" s="1"/>
  <c r="M98" i="31"/>
  <c r="M102" i="31"/>
  <c r="I102" i="31" s="1"/>
  <c r="J102" i="31" s="1"/>
  <c r="M104" i="31"/>
  <c r="I104" i="31" s="1"/>
  <c r="J104" i="31" s="1"/>
  <c r="M177" i="31"/>
  <c r="I177" i="31" s="1"/>
  <c r="J177" i="31" s="1"/>
  <c r="M179" i="31"/>
  <c r="I179" i="31" s="1"/>
  <c r="J179" i="31" s="1"/>
  <c r="M186" i="31"/>
  <c r="I186" i="31" s="1"/>
  <c r="J186" i="31" s="1"/>
  <c r="M190" i="31"/>
  <c r="I190" i="31" s="1"/>
  <c r="J190" i="31" s="1"/>
  <c r="M202" i="31"/>
  <c r="I202" i="31" s="1"/>
  <c r="J202" i="31" s="1"/>
  <c r="M206" i="31"/>
  <c r="I206" i="31" s="1"/>
  <c r="J206" i="31" s="1"/>
  <c r="M210" i="31"/>
  <c r="I210" i="31" s="1"/>
  <c r="J210" i="31" s="1"/>
  <c r="M266" i="31"/>
  <c r="I266" i="31" s="1"/>
  <c r="J266" i="31" s="1"/>
  <c r="I367" i="31"/>
  <c r="J367" i="31" s="1"/>
  <c r="I404" i="31"/>
  <c r="J404" i="31" s="1"/>
  <c r="I527" i="31"/>
  <c r="J527" i="31" s="1"/>
  <c r="M53" i="31"/>
  <c r="I53" i="31" s="1"/>
  <c r="J53" i="31" s="1"/>
  <c r="M72" i="31"/>
  <c r="I72" i="31" s="1"/>
  <c r="J72" i="31" s="1"/>
  <c r="M214" i="31"/>
  <c r="I214" i="31" s="1"/>
  <c r="J214" i="31" s="1"/>
  <c r="M216" i="31"/>
  <c r="I216" i="31" s="1"/>
  <c r="J216" i="31" s="1"/>
  <c r="M42" i="31"/>
  <c r="I42" i="31" s="1"/>
  <c r="J42" i="31" s="1"/>
  <c r="M50" i="31"/>
  <c r="I50" i="31" s="1"/>
  <c r="J50" i="31" s="1"/>
  <c r="M63" i="31"/>
  <c r="I63" i="31" s="1"/>
  <c r="J63" i="31" s="1"/>
  <c r="M111" i="31"/>
  <c r="I111" i="31" s="1"/>
  <c r="J111" i="31" s="1"/>
  <c r="M115" i="31"/>
  <c r="I115" i="31" s="1"/>
  <c r="J115" i="31" s="1"/>
  <c r="M119" i="31"/>
  <c r="I119" i="31" s="1"/>
  <c r="J119" i="31" s="1"/>
  <c r="M123" i="31"/>
  <c r="I123" i="31" s="1"/>
  <c r="J123" i="31" s="1"/>
  <c r="M163" i="31"/>
  <c r="I163" i="31" s="1"/>
  <c r="J163" i="31" s="1"/>
  <c r="M171" i="31"/>
  <c r="I171" i="31" s="1"/>
  <c r="J171" i="31" s="1"/>
  <c r="I87" i="31"/>
  <c r="J87" i="31" s="1"/>
  <c r="I98" i="31"/>
  <c r="J98" i="31" s="1"/>
  <c r="I234" i="31"/>
  <c r="J234" i="31" s="1"/>
  <c r="I319" i="31"/>
  <c r="J319" i="31" s="1"/>
  <c r="I335" i="31"/>
  <c r="J335" i="31" s="1"/>
  <c r="J427" i="31"/>
  <c r="I574" i="31"/>
  <c r="J574" i="31" s="1"/>
  <c r="A30" i="31"/>
  <c r="I12" i="31"/>
  <c r="J12" i="31" s="1"/>
  <c r="I140" i="31"/>
  <c r="J140" i="31" s="1"/>
  <c r="I238" i="31"/>
  <c r="J238" i="31" s="1"/>
  <c r="I324" i="31"/>
  <c r="J324" i="31" s="1"/>
  <c r="I332" i="31"/>
  <c r="J332" i="31" s="1"/>
  <c r="I512" i="31"/>
  <c r="J512" i="31" s="1"/>
  <c r="I558" i="31"/>
  <c r="J558" i="31" s="1"/>
  <c r="I566" i="31"/>
  <c r="J566" i="31" s="1"/>
  <c r="I581" i="31"/>
  <c r="J581" i="31" s="1"/>
  <c r="I585" i="31"/>
  <c r="J585" i="31" s="1"/>
  <c r="I8" i="31"/>
  <c r="J8" i="31" s="1"/>
  <c r="I15" i="31"/>
  <c r="J15" i="31" s="1"/>
  <c r="I16" i="31"/>
  <c r="J16" i="31" s="1"/>
  <c r="I127" i="31"/>
  <c r="J127" i="31" s="1"/>
  <c r="I132" i="31"/>
  <c r="J132" i="31" s="1"/>
  <c r="I142" i="31"/>
  <c r="J142" i="31" s="1"/>
  <c r="I144" i="31"/>
  <c r="J144" i="31" s="1"/>
  <c r="I153" i="31"/>
  <c r="J153" i="31" s="1"/>
  <c r="I180" i="31"/>
  <c r="J180" i="31" s="1"/>
  <c r="I235" i="31"/>
  <c r="J235" i="31" s="1"/>
  <c r="I243" i="31"/>
  <c r="J243" i="31" s="1"/>
  <c r="I322" i="31"/>
  <c r="J322" i="31" s="1"/>
  <c r="I323" i="31"/>
  <c r="J323" i="31" s="1"/>
  <c r="I330" i="31"/>
  <c r="J330" i="31" s="1"/>
  <c r="I331" i="31"/>
  <c r="J331" i="31" s="1"/>
  <c r="I457" i="31"/>
  <c r="J457" i="31" s="1"/>
  <c r="I498" i="31"/>
  <c r="J498" i="31" s="1"/>
  <c r="J501" i="31" s="1"/>
  <c r="I510" i="31"/>
  <c r="J510" i="31" s="1"/>
  <c r="I515" i="31"/>
  <c r="J515" i="31" s="1"/>
  <c r="I516" i="31"/>
  <c r="J516" i="31" s="1"/>
  <c r="I521" i="31"/>
  <c r="J521" i="31" s="1"/>
  <c r="I522" i="31"/>
  <c r="J522" i="31" s="1"/>
  <c r="I561" i="31"/>
  <c r="J561" i="31" s="1"/>
  <c r="I565" i="31"/>
  <c r="J565" i="31" s="1"/>
  <c r="J240" i="31"/>
  <c r="M39" i="31"/>
  <c r="I39" i="31" s="1"/>
  <c r="J39" i="31" s="1"/>
  <c r="M43" i="31"/>
  <c r="I43" i="31" s="1"/>
  <c r="J43" i="31" s="1"/>
  <c r="M47" i="31"/>
  <c r="I47" i="31" s="1"/>
  <c r="J47" i="31" s="1"/>
  <c r="M51" i="31"/>
  <c r="I51" i="31" s="1"/>
  <c r="J51" i="31" s="1"/>
  <c r="M60" i="31"/>
  <c r="I60" i="31" s="1"/>
  <c r="J60" i="31" s="1"/>
  <c r="M64" i="31"/>
  <c r="I64" i="31" s="1"/>
  <c r="J64" i="31" s="1"/>
  <c r="M66" i="31"/>
  <c r="I66" i="31" s="1"/>
  <c r="J66" i="31" s="1"/>
  <c r="M103" i="31"/>
  <c r="I103" i="31" s="1"/>
  <c r="J103" i="31" s="1"/>
  <c r="M105" i="31"/>
  <c r="I105" i="31" s="1"/>
  <c r="J105" i="31" s="1"/>
  <c r="M112" i="31"/>
  <c r="I112" i="31" s="1"/>
  <c r="J112" i="31" s="1"/>
  <c r="M116" i="31"/>
  <c r="I116" i="31" s="1"/>
  <c r="J116" i="31" s="1"/>
  <c r="M164" i="31"/>
  <c r="I164" i="31" s="1"/>
  <c r="J164" i="31" s="1"/>
  <c r="M168" i="31"/>
  <c r="I168" i="31" s="1"/>
  <c r="J168" i="31" s="1"/>
  <c r="M172" i="31"/>
  <c r="I172" i="31" s="1"/>
  <c r="J172" i="31" s="1"/>
  <c r="M176" i="31"/>
  <c r="I176" i="31" s="1"/>
  <c r="J176" i="31" s="1"/>
  <c r="M178" i="31"/>
  <c r="I178" i="31" s="1"/>
  <c r="J178" i="31" s="1"/>
  <c r="M184" i="31"/>
  <c r="I184" i="31" s="1"/>
  <c r="J184" i="31" s="1"/>
  <c r="I327" i="31"/>
  <c r="J327" i="31" s="1"/>
  <c r="I508" i="31"/>
  <c r="J508" i="31" s="1"/>
  <c r="I582" i="31"/>
  <c r="J582" i="31" s="1"/>
  <c r="I586" i="31"/>
  <c r="J586" i="31" s="1"/>
  <c r="A53" i="31"/>
  <c r="I345" i="31"/>
  <c r="J345" i="31" s="1"/>
  <c r="I577" i="31"/>
  <c r="J577" i="31" s="1"/>
  <c r="M38" i="31"/>
  <c r="I38" i="31" s="1"/>
  <c r="J38" i="31" s="1"/>
  <c r="M46" i="31"/>
  <c r="I46" i="31" s="1"/>
  <c r="J46" i="31" s="1"/>
  <c r="M59" i="31"/>
  <c r="I59" i="31" s="1"/>
  <c r="J59" i="31" s="1"/>
  <c r="M75" i="31"/>
  <c r="I75" i="31" s="1"/>
  <c r="J75" i="31" s="1"/>
  <c r="M79" i="31"/>
  <c r="I79" i="31" s="1"/>
  <c r="J79" i="31" s="1"/>
  <c r="M83" i="31"/>
  <c r="I83" i="31" s="1"/>
  <c r="J83" i="31" s="1"/>
  <c r="M85" i="31"/>
  <c r="I85" i="31" s="1"/>
  <c r="J85" i="31" s="1"/>
  <c r="M91" i="31"/>
  <c r="I91" i="31" s="1"/>
  <c r="J91" i="31" s="1"/>
  <c r="M95" i="31"/>
  <c r="I95" i="31" s="1"/>
  <c r="J95" i="31" s="1"/>
  <c r="M99" i="31"/>
  <c r="I99" i="31" s="1"/>
  <c r="J99" i="31" s="1"/>
  <c r="M120" i="31"/>
  <c r="I120" i="31" s="1"/>
  <c r="J120" i="31" s="1"/>
  <c r="M157" i="31"/>
  <c r="I157" i="31" s="1"/>
  <c r="J157" i="31" s="1"/>
  <c r="M187" i="31"/>
  <c r="I187" i="31" s="1"/>
  <c r="J187" i="31" s="1"/>
  <c r="M191" i="31"/>
  <c r="I191" i="31" s="1"/>
  <c r="J191" i="31" s="1"/>
  <c r="M203" i="31"/>
  <c r="I203" i="31" s="1"/>
  <c r="J203" i="31" s="1"/>
  <c r="M207" i="31"/>
  <c r="I207" i="31" s="1"/>
  <c r="J207" i="31" s="1"/>
  <c r="M211" i="31"/>
  <c r="I211" i="31" s="1"/>
  <c r="J211" i="31" s="1"/>
  <c r="M255" i="31"/>
  <c r="I255" i="31" s="1"/>
  <c r="J255" i="31" s="1"/>
  <c r="M259" i="31"/>
  <c r="I259" i="31" s="1"/>
  <c r="J259" i="31" s="1"/>
  <c r="M263" i="31"/>
  <c r="I263" i="31" s="1"/>
  <c r="J263" i="31" s="1"/>
  <c r="M267" i="31"/>
  <c r="I267" i="31" s="1"/>
  <c r="J267" i="31" s="1"/>
  <c r="M269" i="31"/>
  <c r="I269" i="31" s="1"/>
  <c r="J269" i="31" s="1"/>
  <c r="M275" i="31"/>
  <c r="I275" i="31" s="1"/>
  <c r="J275" i="31" s="1"/>
  <c r="M279" i="31"/>
  <c r="I279" i="31" s="1"/>
  <c r="J279" i="31" s="1"/>
  <c r="M283" i="31"/>
  <c r="I283" i="31" s="1"/>
  <c r="J283" i="31" s="1"/>
  <c r="M285" i="31"/>
  <c r="I285" i="31" s="1"/>
  <c r="J285" i="31" s="1"/>
  <c r="M292" i="31"/>
  <c r="I292" i="31" s="1"/>
  <c r="J292" i="31" s="1"/>
  <c r="M296" i="31"/>
  <c r="I296" i="31" s="1"/>
  <c r="J296" i="31" s="1"/>
  <c r="M300" i="31"/>
  <c r="I300" i="31" s="1"/>
  <c r="J300" i="31" s="1"/>
  <c r="M26" i="31"/>
  <c r="I26" i="31" s="1"/>
  <c r="J26" i="31" s="1"/>
  <c r="M31" i="31"/>
  <c r="I31" i="31" s="1"/>
  <c r="J31" i="31" s="1"/>
  <c r="J35" i="31" s="1"/>
  <c r="M37" i="31"/>
  <c r="I37" i="31" s="1"/>
  <c r="J37" i="31" s="1"/>
  <c r="M41" i="31"/>
  <c r="I41" i="31" s="1"/>
  <c r="J41" i="31" s="1"/>
  <c r="M45" i="31"/>
  <c r="I45" i="31" s="1"/>
  <c r="J45" i="31" s="1"/>
  <c r="M48" i="31"/>
  <c r="I48" i="31" s="1"/>
  <c r="J48" i="31" s="1"/>
  <c r="M49" i="31"/>
  <c r="I49" i="31" s="1"/>
  <c r="J49" i="31" s="1"/>
  <c r="M52" i="31"/>
  <c r="I52" i="31" s="1"/>
  <c r="J52" i="31" s="1"/>
  <c r="M54" i="31"/>
  <c r="I54" i="31" s="1"/>
  <c r="J54" i="31" s="1"/>
  <c r="M61" i="31"/>
  <c r="I61" i="31" s="1"/>
  <c r="J61" i="31" s="1"/>
  <c r="M62" i="31"/>
  <c r="I62" i="31" s="1"/>
  <c r="J62" i="31" s="1"/>
  <c r="M73" i="31"/>
  <c r="I73" i="31" s="1"/>
  <c r="J73" i="31" s="1"/>
  <c r="M77" i="31"/>
  <c r="I77" i="31" s="1"/>
  <c r="J77" i="31" s="1"/>
  <c r="M81" i="31"/>
  <c r="I81" i="31" s="1"/>
  <c r="J81" i="31" s="1"/>
  <c r="M93" i="31"/>
  <c r="I93" i="31" s="1"/>
  <c r="J93" i="31" s="1"/>
  <c r="M97" i="31"/>
  <c r="I97" i="31" s="1"/>
  <c r="J97" i="31" s="1"/>
  <c r="M101" i="31"/>
  <c r="I101" i="31" s="1"/>
  <c r="J101" i="31" s="1"/>
  <c r="M110" i="31"/>
  <c r="I110" i="31" s="1"/>
  <c r="J110" i="31" s="1"/>
  <c r="M114" i="31"/>
  <c r="I114" i="31" s="1"/>
  <c r="J114" i="31" s="1"/>
  <c r="M118" i="31"/>
  <c r="I118" i="31" s="1"/>
  <c r="J118" i="31" s="1"/>
  <c r="M122" i="31"/>
  <c r="I122" i="31" s="1"/>
  <c r="J122" i="31" s="1"/>
  <c r="M124" i="31"/>
  <c r="I124" i="31" s="1"/>
  <c r="J124" i="31" s="1"/>
  <c r="M126" i="31"/>
  <c r="I126" i="31" s="1"/>
  <c r="J126" i="31" s="1"/>
  <c r="M152" i="31"/>
  <c r="I152" i="31" s="1"/>
  <c r="J152" i="31" s="1"/>
  <c r="M166" i="31"/>
  <c r="I166" i="31" s="1"/>
  <c r="J166" i="31" s="1"/>
  <c r="M170" i="31"/>
  <c r="I170" i="31" s="1"/>
  <c r="J170" i="31" s="1"/>
  <c r="M174" i="31"/>
  <c r="I174" i="31" s="1"/>
  <c r="J174" i="31" s="1"/>
  <c r="M189" i="31"/>
  <c r="I189" i="31" s="1"/>
  <c r="J189" i="31" s="1"/>
  <c r="M193" i="31"/>
  <c r="I193" i="31" s="1"/>
  <c r="J193" i="31" s="1"/>
  <c r="M195" i="31"/>
  <c r="I195" i="31" s="1"/>
  <c r="J195" i="31" s="1"/>
  <c r="M201" i="31"/>
  <c r="I201" i="31" s="1"/>
  <c r="J201" i="31" s="1"/>
  <c r="M205" i="31"/>
  <c r="I205" i="31" s="1"/>
  <c r="J205" i="31" s="1"/>
  <c r="M209" i="31"/>
  <c r="I209" i="31" s="1"/>
  <c r="J209" i="31" s="1"/>
  <c r="M213" i="31"/>
  <c r="I213" i="31" s="1"/>
  <c r="J213" i="31" s="1"/>
  <c r="I492" i="31"/>
  <c r="J492" i="31" s="1"/>
  <c r="I248" i="31"/>
  <c r="J248" i="31" s="1"/>
  <c r="I158" i="31"/>
  <c r="J158" i="31" s="1"/>
  <c r="M40" i="31"/>
  <c r="I40" i="31" s="1"/>
  <c r="J40" i="31" s="1"/>
  <c r="M44" i="31"/>
  <c r="I44" i="31" s="1"/>
  <c r="J44" i="31" s="1"/>
  <c r="I435" i="31"/>
  <c r="J435" i="31" s="1"/>
  <c r="I588" i="31"/>
  <c r="J588" i="31" s="1"/>
  <c r="A37" i="31"/>
  <c r="A39" i="31"/>
  <c r="A41" i="31"/>
  <c r="A43" i="31"/>
  <c r="A45" i="31"/>
  <c r="A15" i="31"/>
  <c r="A19" i="31"/>
  <c r="A23" i="31"/>
  <c r="Q30" i="31"/>
  <c r="A34" i="31"/>
  <c r="A46" i="31"/>
  <c r="J150" i="31"/>
  <c r="A9" i="31"/>
  <c r="B9" i="31" s="1"/>
  <c r="I11" i="31"/>
  <c r="J11" i="31" s="1"/>
  <c r="J24" i="31" s="1"/>
  <c r="A13" i="31"/>
  <c r="A17" i="31"/>
  <c r="A21" i="31"/>
  <c r="A24" i="31"/>
  <c r="B25" i="31"/>
  <c r="A26" i="31"/>
  <c r="A36" i="31"/>
  <c r="A38" i="31"/>
  <c r="A40" i="31"/>
  <c r="A42" i="31"/>
  <c r="A44" i="31"/>
  <c r="A47" i="31"/>
  <c r="A50" i="31"/>
  <c r="A27" i="31"/>
  <c r="A14" i="31"/>
  <c r="A18" i="31"/>
  <c r="A22" i="31"/>
  <c r="A25" i="31"/>
  <c r="Q25" i="31"/>
  <c r="A29" i="31"/>
  <c r="B30" i="31"/>
  <c r="A31" i="31"/>
  <c r="A597" i="31"/>
  <c r="A589" i="31"/>
  <c r="A574" i="31"/>
  <c r="B573" i="31"/>
  <c r="A572" i="31"/>
  <c r="A558" i="31"/>
  <c r="A552" i="31"/>
  <c r="A534" i="31"/>
  <c r="A595" i="31"/>
  <c r="B594" i="31"/>
  <c r="A593" i="31"/>
  <c r="A588" i="31"/>
  <c r="A586" i="31"/>
  <c r="A584" i="31"/>
  <c r="A582" i="31"/>
  <c r="A580" i="31"/>
  <c r="A578" i="31"/>
  <c r="A576" i="31"/>
  <c r="Q573" i="31"/>
  <c r="A573" i="31"/>
  <c r="A570" i="31"/>
  <c r="A568" i="31"/>
  <c r="A566" i="31"/>
  <c r="A564" i="31"/>
  <c r="A562" i="31"/>
  <c r="A560" i="31"/>
  <c r="A598" i="31"/>
  <c r="Q594" i="31"/>
  <c r="A594" i="31"/>
  <c r="A591" i="31"/>
  <c r="A571" i="31"/>
  <c r="A557" i="31"/>
  <c r="A554" i="31"/>
  <c r="Q536" i="31"/>
  <c r="B536" i="31"/>
  <c r="A535" i="31"/>
  <c r="A533" i="31"/>
  <c r="A532" i="31"/>
  <c r="A528" i="31"/>
  <c r="A520" i="31"/>
  <c r="A596" i="31"/>
  <c r="A592" i="31"/>
  <c r="A590" i="31"/>
  <c r="A587" i="31"/>
  <c r="A585" i="31"/>
  <c r="A583" i="31"/>
  <c r="A581" i="31"/>
  <c r="A579" i="31"/>
  <c r="A577" i="31"/>
  <c r="A575" i="31"/>
  <c r="A569" i="31"/>
  <c r="A567" i="31"/>
  <c r="A565" i="31"/>
  <c r="A563" i="31"/>
  <c r="A561" i="31"/>
  <c r="A559" i="31"/>
  <c r="A555" i="31"/>
  <c r="A553" i="31"/>
  <c r="A550" i="31"/>
  <c r="A548" i="31"/>
  <c r="A546" i="31"/>
  <c r="A544" i="31"/>
  <c r="A542" i="31"/>
  <c r="B557" i="31"/>
  <c r="A551" i="31"/>
  <c r="A543" i="31"/>
  <c r="A536" i="31"/>
  <c r="A529" i="31"/>
  <c r="A526" i="31"/>
  <c r="A519" i="31"/>
  <c r="A515" i="31"/>
  <c r="A511" i="31"/>
  <c r="A507" i="31"/>
  <c r="A498" i="31"/>
  <c r="B497" i="31"/>
  <c r="A496" i="31"/>
  <c r="A491" i="31"/>
  <c r="A556" i="31"/>
  <c r="A549" i="31"/>
  <c r="A541" i="31"/>
  <c r="A540" i="31"/>
  <c r="A539" i="31"/>
  <c r="A538" i="31"/>
  <c r="A537" i="31"/>
  <c r="B530" i="31"/>
  <c r="Q525" i="31"/>
  <c r="A524" i="31"/>
  <c r="A522" i="31"/>
  <c r="A516" i="31"/>
  <c r="A512" i="31"/>
  <c r="A508" i="31"/>
  <c r="A501" i="31"/>
  <c r="Q497" i="31"/>
  <c r="A497" i="31"/>
  <c r="A494" i="31"/>
  <c r="A474" i="31"/>
  <c r="Q557" i="31"/>
  <c r="A547" i="31"/>
  <c r="A531" i="31"/>
  <c r="A530" i="31"/>
  <c r="B525" i="31"/>
  <c r="A517" i="31"/>
  <c r="A513" i="31"/>
  <c r="A509" i="31"/>
  <c r="A505" i="31"/>
  <c r="B504" i="31"/>
  <c r="B503" i="31"/>
  <c r="A499" i="31"/>
  <c r="A495" i="31"/>
  <c r="A493" i="31"/>
  <c r="A490" i="31"/>
  <c r="A488" i="31"/>
  <c r="A486" i="31"/>
  <c r="A484" i="31"/>
  <c r="A482" i="31"/>
  <c r="A545" i="31"/>
  <c r="Q530" i="31"/>
  <c r="A527" i="31"/>
  <c r="A525" i="31"/>
  <c r="A523" i="31"/>
  <c r="A521" i="31"/>
  <c r="A518" i="31"/>
  <c r="A514" i="31"/>
  <c r="A510" i="31"/>
  <c r="A506" i="31"/>
  <c r="Q504" i="31"/>
  <c r="A504" i="31"/>
  <c r="A500" i="31"/>
  <c r="A492" i="31"/>
  <c r="A477" i="31"/>
  <c r="B476" i="31"/>
  <c r="A475" i="31"/>
  <c r="A485" i="31"/>
  <c r="A476" i="31"/>
  <c r="A468" i="31"/>
  <c r="A465" i="31"/>
  <c r="A463" i="31"/>
  <c r="Q460" i="31"/>
  <c r="B460" i="31"/>
  <c r="A459" i="31"/>
  <c r="A454" i="31"/>
  <c r="A452" i="31"/>
  <c r="A450" i="31"/>
  <c r="A448" i="31"/>
  <c r="A446" i="31"/>
  <c r="A444" i="31"/>
  <c r="A442" i="31"/>
  <c r="A440" i="31"/>
  <c r="Q433" i="31"/>
  <c r="A433" i="31"/>
  <c r="A430" i="31"/>
  <c r="A426" i="31"/>
  <c r="A422" i="31"/>
  <c r="A418" i="31"/>
  <c r="A411" i="31"/>
  <c r="Q407" i="31"/>
  <c r="A407" i="31"/>
  <c r="A404" i="31"/>
  <c r="A483" i="31"/>
  <c r="A472" i="31"/>
  <c r="A467" i="31"/>
  <c r="A460" i="31"/>
  <c r="A457" i="31"/>
  <c r="Q439" i="31"/>
  <c r="B439" i="31"/>
  <c r="A438" i="31"/>
  <c r="A436" i="31"/>
  <c r="A435" i="31"/>
  <c r="A431" i="31"/>
  <c r="A423" i="31"/>
  <c r="A419" i="31"/>
  <c r="A415" i="31"/>
  <c r="B414" i="31"/>
  <c r="B413" i="31"/>
  <c r="A409" i="31"/>
  <c r="A405" i="31"/>
  <c r="A403" i="31"/>
  <c r="A400" i="31"/>
  <c r="A398" i="31"/>
  <c r="A396" i="31"/>
  <c r="A394" i="31"/>
  <c r="A392" i="31"/>
  <c r="A489" i="31"/>
  <c r="A481" i="31"/>
  <c r="A480" i="31"/>
  <c r="A479" i="31"/>
  <c r="A478" i="31"/>
  <c r="Q476" i="31"/>
  <c r="A470" i="31"/>
  <c r="A466" i="31"/>
  <c r="A464" i="31"/>
  <c r="A462" i="31"/>
  <c r="A458" i="31"/>
  <c r="A456" i="31"/>
  <c r="A453" i="31"/>
  <c r="A451" i="31"/>
  <c r="A449" i="31"/>
  <c r="A447" i="31"/>
  <c r="A445" i="31"/>
  <c r="A443" i="31"/>
  <c r="A441" i="31"/>
  <c r="A439" i="31"/>
  <c r="A429" i="31"/>
  <c r="B428" i="31"/>
  <c r="A427" i="31"/>
  <c r="A424" i="31"/>
  <c r="A420" i="31"/>
  <c r="A416" i="31"/>
  <c r="Q414" i="31"/>
  <c r="A414" i="31"/>
  <c r="A410" i="31"/>
  <c r="A402" i="31"/>
  <c r="A387" i="31"/>
  <c r="B386" i="31"/>
  <c r="A385" i="31"/>
  <c r="A487" i="31"/>
  <c r="A473" i="31"/>
  <c r="A471" i="31"/>
  <c r="A469" i="31"/>
  <c r="A461" i="31"/>
  <c r="A455" i="31"/>
  <c r="A437" i="31"/>
  <c r="A434" i="31"/>
  <c r="B433" i="31"/>
  <c r="A432" i="31"/>
  <c r="Q428" i="31"/>
  <c r="A428" i="31"/>
  <c r="A425" i="31"/>
  <c r="A421" i="31"/>
  <c r="A417" i="31"/>
  <c r="A408" i="31"/>
  <c r="B407" i="31"/>
  <c r="A406" i="31"/>
  <c r="A401" i="31"/>
  <c r="A395" i="31"/>
  <c r="A391" i="31"/>
  <c r="Q386" i="31"/>
  <c r="A370" i="31"/>
  <c r="A367" i="31"/>
  <c r="Q349" i="31"/>
  <c r="A393" i="31"/>
  <c r="A390" i="31"/>
  <c r="A383" i="31"/>
  <c r="A381" i="31"/>
  <c r="A378" i="31"/>
  <c r="A376" i="31"/>
  <c r="A374" i="31"/>
  <c r="A372" i="31"/>
  <c r="A368" i="31"/>
  <c r="A366" i="31"/>
  <c r="A363" i="31"/>
  <c r="A361" i="31"/>
  <c r="A359" i="31"/>
  <c r="A357" i="31"/>
  <c r="A355" i="31"/>
  <c r="A353" i="31"/>
  <c r="A399" i="31"/>
  <c r="A389" i="31"/>
  <c r="A382" i="31"/>
  <c r="A380" i="31"/>
  <c r="A371" i="31"/>
  <c r="A365" i="31"/>
  <c r="A397" i="31"/>
  <c r="A388" i="31"/>
  <c r="A386" i="31"/>
  <c r="A384" i="31"/>
  <c r="A379" i="31"/>
  <c r="A377" i="31"/>
  <c r="A375" i="31"/>
  <c r="A373" i="31"/>
  <c r="Q370" i="31"/>
  <c r="B370" i="31"/>
  <c r="A369" i="31"/>
  <c r="A364" i="31"/>
  <c r="A362" i="31"/>
  <c r="A360" i="31"/>
  <c r="A358" i="31"/>
  <c r="A356" i="31"/>
  <c r="A354" i="31"/>
  <c r="A352" i="31"/>
  <c r="A350" i="31"/>
  <c r="Q343" i="31"/>
  <c r="A343" i="31"/>
  <c r="A340" i="31"/>
  <c r="A336" i="31"/>
  <c r="A332" i="31"/>
  <c r="A328" i="31"/>
  <c r="A324" i="31"/>
  <c r="A320" i="31"/>
  <c r="B349" i="31"/>
  <c r="A345" i="31"/>
  <c r="B343" i="31"/>
  <c r="A341" i="31"/>
  <c r="Q338" i="31"/>
  <c r="A335" i="31"/>
  <c r="A333" i="31"/>
  <c r="A331" i="31"/>
  <c r="A329" i="31"/>
  <c r="A327" i="31"/>
  <c r="A325" i="31"/>
  <c r="A323" i="31"/>
  <c r="A321" i="31"/>
  <c r="A319" i="31"/>
  <c r="B316" i="31"/>
  <c r="A312" i="31"/>
  <c r="A308" i="31"/>
  <c r="A306" i="31"/>
  <c r="A303" i="31"/>
  <c r="A301" i="31"/>
  <c r="A299" i="31"/>
  <c r="A297" i="31"/>
  <c r="A295" i="31"/>
  <c r="A293" i="31"/>
  <c r="A291" i="31"/>
  <c r="A285" i="31"/>
  <c r="A283" i="31"/>
  <c r="A281" i="31"/>
  <c r="A279" i="31"/>
  <c r="A277" i="31"/>
  <c r="A275" i="31"/>
  <c r="A271" i="31"/>
  <c r="A269" i="31"/>
  <c r="A266" i="31"/>
  <c r="A264" i="31"/>
  <c r="A262" i="31"/>
  <c r="A260" i="31"/>
  <c r="A258" i="31"/>
  <c r="A256" i="31"/>
  <c r="A254" i="31"/>
  <c r="A252" i="31"/>
  <c r="A242" i="31"/>
  <c r="B241" i="31"/>
  <c r="A240" i="31"/>
  <c r="A237" i="31"/>
  <c r="A233" i="31"/>
  <c r="A229" i="31"/>
  <c r="Q227" i="31"/>
  <c r="A227" i="31"/>
  <c r="A223" i="31"/>
  <c r="A215" i="31"/>
  <c r="A200" i="31"/>
  <c r="B199" i="31"/>
  <c r="A198" i="31"/>
  <c r="A351" i="31"/>
  <c r="A349" i="31"/>
  <c r="A347" i="31"/>
  <c r="A344" i="31"/>
  <c r="A337" i="31"/>
  <c r="B317" i="31"/>
  <c r="A313" i="31"/>
  <c r="A305" i="31"/>
  <c r="A290" i="31"/>
  <c r="B289" i="31"/>
  <c r="A288" i="31"/>
  <c r="A274" i="31"/>
  <c r="A268" i="31"/>
  <c r="A250" i="31"/>
  <c r="A247" i="31"/>
  <c r="B246" i="31"/>
  <c r="A245" i="31"/>
  <c r="Q241" i="31"/>
  <c r="A241" i="31"/>
  <c r="A238" i="31"/>
  <c r="A234" i="31"/>
  <c r="A230" i="31"/>
  <c r="A221" i="31"/>
  <c r="B220" i="31"/>
  <c r="A219" i="31"/>
  <c r="A214" i="31"/>
  <c r="A212" i="31"/>
  <c r="A210" i="31"/>
  <c r="A208" i="31"/>
  <c r="A206" i="31"/>
  <c r="A204" i="31"/>
  <c r="A202" i="31"/>
  <c r="Q199" i="31"/>
  <c r="A199" i="31"/>
  <c r="A196" i="31"/>
  <c r="A194" i="31"/>
  <c r="A192" i="31"/>
  <c r="A190" i="31"/>
  <c r="A188" i="31"/>
  <c r="A186" i="31"/>
  <c r="A346" i="31"/>
  <c r="B338" i="31"/>
  <c r="A334" i="31"/>
  <c r="A330" i="31"/>
  <c r="A326" i="31"/>
  <c r="A322" i="31"/>
  <c r="A318" i="31"/>
  <c r="A317" i="31"/>
  <c r="A311" i="31"/>
  <c r="B310" i="31"/>
  <c r="A309" i="31"/>
  <c r="A304" i="31"/>
  <c r="A302" i="31"/>
  <c r="A300" i="31"/>
  <c r="A298" i="31"/>
  <c r="A296" i="31"/>
  <c r="A294" i="31"/>
  <c r="A292" i="31"/>
  <c r="Q289" i="31"/>
  <c r="A289" i="31"/>
  <c r="A286" i="31"/>
  <c r="A284" i="31"/>
  <c r="A282" i="31"/>
  <c r="A280" i="31"/>
  <c r="A278" i="31"/>
  <c r="A276" i="31"/>
  <c r="Q273" i="31"/>
  <c r="B273" i="31"/>
  <c r="A272" i="31"/>
  <c r="A267" i="31"/>
  <c r="A265" i="31"/>
  <c r="A263" i="31"/>
  <c r="A261" i="31"/>
  <c r="A259" i="31"/>
  <c r="A257" i="31"/>
  <c r="A255" i="31"/>
  <c r="A253" i="31"/>
  <c r="Q246" i="31"/>
  <c r="A246" i="31"/>
  <c r="A243" i="31"/>
  <c r="A239" i="31"/>
  <c r="A235" i="31"/>
  <c r="A231" i="31"/>
  <c r="A224" i="31"/>
  <c r="Q220" i="31"/>
  <c r="A220" i="31"/>
  <c r="A217" i="31"/>
  <c r="A348" i="31"/>
  <c r="A342" i="31"/>
  <c r="A339" i="31"/>
  <c r="A338" i="31"/>
  <c r="Q317" i="31"/>
  <c r="A314" i="31"/>
  <c r="Q310" i="31"/>
  <c r="A310" i="31"/>
  <c r="A307" i="31"/>
  <c r="A287" i="31"/>
  <c r="A273" i="31"/>
  <c r="A270" i="31"/>
  <c r="Q252" i="31"/>
  <c r="B252" i="31"/>
  <c r="A251" i="31"/>
  <c r="A249" i="31"/>
  <c r="A248" i="31"/>
  <c r="A244" i="31"/>
  <c r="A236" i="31"/>
  <c r="A232" i="31"/>
  <c r="A228" i="31"/>
  <c r="B227" i="31"/>
  <c r="B226" i="31"/>
  <c r="A222" i="31"/>
  <c r="A218" i="31"/>
  <c r="A216" i="31"/>
  <c r="A213" i="31"/>
  <c r="A211" i="31"/>
  <c r="A209" i="31"/>
  <c r="A207" i="31"/>
  <c r="A205" i="31"/>
  <c r="A203" i="31"/>
  <c r="A201" i="31"/>
  <c r="A195" i="31"/>
  <c r="A193" i="31"/>
  <c r="A191" i="31"/>
  <c r="A189" i="31"/>
  <c r="A187" i="31"/>
  <c r="A183" i="31"/>
  <c r="A180" i="31"/>
  <c r="Q162" i="31"/>
  <c r="B162" i="31"/>
  <c r="A161" i="31"/>
  <c r="A159" i="31"/>
  <c r="A158" i="31"/>
  <c r="A154" i="31"/>
  <c r="A146" i="31"/>
  <c r="A142" i="31"/>
  <c r="A138" i="31"/>
  <c r="B137" i="31"/>
  <c r="B136" i="31"/>
  <c r="A132" i="31"/>
  <c r="A128" i="31"/>
  <c r="A126" i="31"/>
  <c r="A123" i="31"/>
  <c r="A121" i="31"/>
  <c r="A119" i="31"/>
  <c r="A117" i="31"/>
  <c r="A115" i="31"/>
  <c r="A113" i="31"/>
  <c r="A111" i="31"/>
  <c r="A105" i="31"/>
  <c r="A103" i="31"/>
  <c r="A101" i="31"/>
  <c r="A99" i="31"/>
  <c r="A97" i="31"/>
  <c r="A95" i="31"/>
  <c r="A93" i="31"/>
  <c r="Q90" i="31"/>
  <c r="B90" i="31"/>
  <c r="A89" i="31"/>
  <c r="A71" i="31"/>
  <c r="A68" i="31"/>
  <c r="Q58" i="31"/>
  <c r="B58" i="31"/>
  <c r="A57" i="31"/>
  <c r="A52" i="31"/>
  <c r="A185" i="31"/>
  <c r="A181" i="31"/>
  <c r="A179" i="31"/>
  <c r="A176" i="31"/>
  <c r="A174" i="31"/>
  <c r="A172" i="31"/>
  <c r="A170" i="31"/>
  <c r="A168" i="31"/>
  <c r="A166" i="31"/>
  <c r="A164" i="31"/>
  <c r="A162" i="31"/>
  <c r="A152" i="31"/>
  <c r="B151" i="31"/>
  <c r="A150" i="31"/>
  <c r="A147" i="31"/>
  <c r="A143" i="31"/>
  <c r="A139" i="31"/>
  <c r="Q137" i="31"/>
  <c r="A137" i="31"/>
  <c r="A133" i="31"/>
  <c r="A125" i="31"/>
  <c r="A110" i="31"/>
  <c r="B109" i="31"/>
  <c r="A108" i="31"/>
  <c r="A90" i="31"/>
  <c r="A87" i="31"/>
  <c r="A85" i="31"/>
  <c r="A83" i="31"/>
  <c r="A81" i="31"/>
  <c r="A79" i="31"/>
  <c r="A77" i="31"/>
  <c r="A75" i="31"/>
  <c r="A73" i="31"/>
  <c r="A69" i="31"/>
  <c r="A67" i="31"/>
  <c r="A64" i="31"/>
  <c r="A62" i="31"/>
  <c r="A60" i="31"/>
  <c r="A58" i="31"/>
  <c r="A55" i="31"/>
  <c r="A197" i="31"/>
  <c r="A184" i="31"/>
  <c r="A178" i="31"/>
  <c r="A160" i="31"/>
  <c r="A157" i="31"/>
  <c r="B156" i="31"/>
  <c r="A155" i="31"/>
  <c r="Q151" i="31"/>
  <c r="A151" i="31"/>
  <c r="A148" i="31"/>
  <c r="A144" i="31"/>
  <c r="A140" i="31"/>
  <c r="A131" i="31"/>
  <c r="B130" i="31"/>
  <c r="A129" i="31"/>
  <c r="A124" i="31"/>
  <c r="A122" i="31"/>
  <c r="A120" i="31"/>
  <c r="A118" i="31"/>
  <c r="A116" i="31"/>
  <c r="A114" i="31"/>
  <c r="A112" i="31"/>
  <c r="Q109" i="31"/>
  <c r="A109" i="31"/>
  <c r="A106" i="31"/>
  <c r="A104" i="31"/>
  <c r="A102" i="31"/>
  <c r="A100" i="31"/>
  <c r="A98" i="31"/>
  <c r="A96" i="31"/>
  <c r="A94" i="31"/>
  <c r="A92" i="31"/>
  <c r="A88" i="31"/>
  <c r="A72" i="31"/>
  <c r="A66" i="31"/>
  <c r="A56" i="31"/>
  <c r="A54" i="31"/>
  <c r="A51" i="31"/>
  <c r="A49" i="31"/>
  <c r="Q183" i="31"/>
  <c r="B183" i="31"/>
  <c r="A182" i="31"/>
  <c r="A177" i="31"/>
  <c r="A175" i="31"/>
  <c r="A173" i="31"/>
  <c r="A171" i="31"/>
  <c r="A169" i="31"/>
  <c r="A167" i="31"/>
  <c r="A165" i="31"/>
  <c r="A163" i="31"/>
  <c r="Q156" i="31"/>
  <c r="A156" i="31"/>
  <c r="A153" i="31"/>
  <c r="A149" i="31"/>
  <c r="A145" i="31"/>
  <c r="A141" i="31"/>
  <c r="A134" i="31"/>
  <c r="Q130" i="31"/>
  <c r="A130" i="31"/>
  <c r="A127" i="31"/>
  <c r="A107" i="31"/>
  <c r="A91" i="31"/>
  <c r="A86" i="31"/>
  <c r="A84" i="31"/>
  <c r="A82" i="31"/>
  <c r="A80" i="31"/>
  <c r="A78" i="31"/>
  <c r="A76" i="31"/>
  <c r="A74" i="31"/>
  <c r="Q71" i="31"/>
  <c r="B71" i="31"/>
  <c r="A70" i="31"/>
  <c r="A65" i="31"/>
  <c r="A63" i="31"/>
  <c r="A61" i="31"/>
  <c r="A59" i="31"/>
  <c r="A12" i="31"/>
  <c r="B12" i="31" s="1"/>
  <c r="A16" i="31"/>
  <c r="A20" i="31"/>
  <c r="A28" i="31"/>
  <c r="B28" i="31" s="1"/>
  <c r="A32" i="31"/>
  <c r="A33" i="31"/>
  <c r="A35" i="31"/>
  <c r="B36" i="31"/>
  <c r="Q36" i="31"/>
  <c r="A48" i="31"/>
  <c r="J134" i="31"/>
  <c r="M185" i="31"/>
  <c r="I185" i="31" s="1"/>
  <c r="J185" i="31" s="1"/>
  <c r="M351" i="31"/>
  <c r="I351" i="31" s="1"/>
  <c r="J351" i="31" s="1"/>
  <c r="M353" i="31"/>
  <c r="I353" i="31" s="1"/>
  <c r="J353" i="31" s="1"/>
  <c r="M355" i="31"/>
  <c r="I355" i="31" s="1"/>
  <c r="J355" i="31" s="1"/>
  <c r="J337" i="31"/>
  <c r="M391" i="31"/>
  <c r="I391" i="31" s="1"/>
  <c r="J391" i="31" s="1"/>
  <c r="M381" i="31"/>
  <c r="I381" i="31" s="1"/>
  <c r="J381" i="31" s="1"/>
  <c r="J411" i="31"/>
  <c r="M470" i="31"/>
  <c r="I470" i="31" s="1"/>
  <c r="J470" i="31" s="1"/>
  <c r="M472" i="31"/>
  <c r="I472" i="31" s="1"/>
  <c r="J472" i="31" s="1"/>
  <c r="J524" i="31"/>
  <c r="I487" i="31"/>
  <c r="J487" i="31" s="1"/>
  <c r="M531" i="31"/>
  <c r="I531" i="31" s="1"/>
  <c r="J531" i="31" s="1"/>
  <c r="J535" i="31" s="1"/>
  <c r="I546" i="31"/>
  <c r="J546" i="31" s="1"/>
  <c r="M553" i="31"/>
  <c r="I553" i="31" s="1"/>
  <c r="J553" i="31" s="1"/>
  <c r="I538" i="31"/>
  <c r="J538" i="31" s="1"/>
  <c r="I568" i="31"/>
  <c r="J568" i="31" s="1"/>
  <c r="L67" i="2"/>
  <c r="K67" i="2" s="1"/>
  <c r="H67" i="2" s="1"/>
  <c r="L66" i="2"/>
  <c r="K66" i="2" s="1"/>
  <c r="H66" i="2" s="1"/>
  <c r="L65" i="2"/>
  <c r="K65" i="2" s="1"/>
  <c r="L63" i="2"/>
  <c r="L59" i="2"/>
  <c r="K59" i="2" s="1"/>
  <c r="L58" i="2"/>
  <c r="K58" i="2" s="1"/>
  <c r="H58" i="2" s="1"/>
  <c r="L57" i="2"/>
  <c r="K57" i="2" s="1"/>
  <c r="M55" i="2"/>
  <c r="L55" i="2"/>
  <c r="D55" i="2"/>
  <c r="B55" i="2"/>
  <c r="M54" i="2"/>
  <c r="L54" i="2"/>
  <c r="D54" i="2"/>
  <c r="B54" i="2"/>
  <c r="M53" i="2"/>
  <c r="L53" i="2"/>
  <c r="D53" i="2"/>
  <c r="B53" i="2"/>
  <c r="L52" i="2"/>
  <c r="K52" i="2" s="1"/>
  <c r="L51" i="2"/>
  <c r="K51" i="2" s="1"/>
  <c r="L50" i="2"/>
  <c r="K50" i="2" s="1"/>
  <c r="L49" i="2"/>
  <c r="K49" i="2" s="1"/>
  <c r="M48" i="2"/>
  <c r="L48" i="2"/>
  <c r="D48" i="2"/>
  <c r="B48" i="2"/>
  <c r="M47" i="2"/>
  <c r="L47" i="2"/>
  <c r="D47" i="2"/>
  <c r="B47" i="2"/>
  <c r="M46" i="2"/>
  <c r="L46" i="2"/>
  <c r="D46" i="2"/>
  <c r="B46" i="2"/>
  <c r="L45" i="2"/>
  <c r="K45" i="2" s="1"/>
  <c r="L44" i="2"/>
  <c r="K44" i="2" s="1"/>
  <c r="G44" i="2" s="1"/>
  <c r="H44" i="2" s="1"/>
  <c r="L43" i="2"/>
  <c r="K43" i="2" s="1"/>
  <c r="L42" i="2"/>
  <c r="K42" i="2" s="1"/>
  <c r="L41" i="2"/>
  <c r="K41" i="2" s="1"/>
  <c r="M40" i="2"/>
  <c r="L40" i="2"/>
  <c r="D40" i="2"/>
  <c r="B40" i="2"/>
  <c r="L39" i="2"/>
  <c r="K39" i="2" s="1"/>
  <c r="L38" i="2"/>
  <c r="K38" i="2" s="1"/>
  <c r="L37" i="2"/>
  <c r="K37" i="2" s="1"/>
  <c r="M36" i="2"/>
  <c r="L36" i="2"/>
  <c r="D36" i="2"/>
  <c r="B36" i="2"/>
  <c r="L35" i="2"/>
  <c r="K35" i="2" s="1"/>
  <c r="M34" i="2"/>
  <c r="L34" i="2"/>
  <c r="D34" i="2"/>
  <c r="B34" i="2"/>
  <c r="M32" i="2"/>
  <c r="L32" i="2"/>
  <c r="D32" i="2"/>
  <c r="B32" i="2"/>
  <c r="L28" i="2"/>
  <c r="K28" i="2" s="1"/>
  <c r="L27" i="2"/>
  <c r="K27" i="2" s="1"/>
  <c r="L26" i="2"/>
  <c r="K26" i="2" s="1"/>
  <c r="H26" i="2" s="1"/>
  <c r="M24" i="2"/>
  <c r="L24" i="2"/>
  <c r="D24" i="2"/>
  <c r="B24" i="2"/>
  <c r="M23" i="2"/>
  <c r="L23" i="2"/>
  <c r="D23" i="2"/>
  <c r="B23" i="2"/>
  <c r="M22" i="2"/>
  <c r="L22" i="2"/>
  <c r="D22" i="2"/>
  <c r="B22" i="2"/>
  <c r="L21" i="2"/>
  <c r="K21" i="2" s="1"/>
  <c r="L20" i="2"/>
  <c r="K20" i="2" s="1"/>
  <c r="L19" i="2"/>
  <c r="K19" i="2" s="1"/>
  <c r="L18" i="2"/>
  <c r="K18" i="2" s="1"/>
  <c r="M17" i="2"/>
  <c r="L17" i="2"/>
  <c r="D17" i="2"/>
  <c r="B17" i="2"/>
  <c r="M16" i="2"/>
  <c r="L16" i="2"/>
  <c r="D16" i="2"/>
  <c r="B16" i="2"/>
  <c r="M15" i="2"/>
  <c r="L15" i="2"/>
  <c r="D15" i="2"/>
  <c r="B15" i="2"/>
  <c r="L14" i="2"/>
  <c r="K14" i="2" s="1"/>
  <c r="G14" i="2" s="1"/>
  <c r="H14" i="2" s="1"/>
  <c r="L13" i="2"/>
  <c r="K13" i="2" s="1"/>
  <c r="L12" i="2"/>
  <c r="K12" i="2" s="1"/>
  <c r="G12" i="2" s="1"/>
  <c r="H12" i="2" s="1"/>
  <c r="L11" i="2"/>
  <c r="K11" i="2" s="1"/>
  <c r="G11" i="2" s="1"/>
  <c r="H11" i="2" s="1"/>
  <c r="L10" i="2"/>
  <c r="K10" i="2" s="1"/>
  <c r="M9" i="2"/>
  <c r="L9" i="2"/>
  <c r="D9" i="2"/>
  <c r="B9" i="2"/>
  <c r="L8" i="2"/>
  <c r="K8" i="2" s="1"/>
  <c r="L5" i="2"/>
  <c r="K5" i="2" s="1"/>
  <c r="L3" i="2"/>
  <c r="K3" i="2" s="1"/>
  <c r="L69" i="2"/>
  <c r="L68" i="2"/>
  <c r="J67" i="2"/>
  <c r="J66" i="2"/>
  <c r="J65" i="2"/>
  <c r="Q63" i="2"/>
  <c r="M63" i="2" s="1"/>
  <c r="J63" i="2"/>
  <c r="I62" i="2"/>
  <c r="H62" i="2"/>
  <c r="L61" i="2"/>
  <c r="L60" i="2"/>
  <c r="J59" i="2"/>
  <c r="J58" i="2"/>
  <c r="J57" i="2"/>
  <c r="J55" i="2"/>
  <c r="J54" i="2"/>
  <c r="J53" i="2"/>
  <c r="J52" i="2"/>
  <c r="F52" i="2"/>
  <c r="J51" i="2"/>
  <c r="J50" i="2"/>
  <c r="J49" i="2"/>
  <c r="J48" i="2"/>
  <c r="J47" i="2"/>
  <c r="J46" i="2"/>
  <c r="J45" i="2"/>
  <c r="E45" i="2"/>
  <c r="J44" i="2"/>
  <c r="E44" i="2"/>
  <c r="J43" i="2"/>
  <c r="J42" i="2"/>
  <c r="J41" i="2"/>
  <c r="J40" i="2"/>
  <c r="J39" i="2"/>
  <c r="J38" i="2"/>
  <c r="J37" i="2"/>
  <c r="J36" i="2"/>
  <c r="J35" i="2"/>
  <c r="J34" i="2"/>
  <c r="K33" i="2"/>
  <c r="J33" i="2"/>
  <c r="J32" i="2"/>
  <c r="H31" i="2"/>
  <c r="I31" i="2" s="1"/>
  <c r="L30" i="2"/>
  <c r="L29" i="2"/>
  <c r="J28" i="2"/>
  <c r="J27" i="2"/>
  <c r="J26" i="2"/>
  <c r="J24" i="2"/>
  <c r="J23" i="2"/>
  <c r="J22" i="2"/>
  <c r="J21" i="2"/>
  <c r="F21" i="2"/>
  <c r="J20" i="2"/>
  <c r="J19" i="2"/>
  <c r="J18" i="2"/>
  <c r="J17" i="2"/>
  <c r="J16" i="2"/>
  <c r="J15" i="2"/>
  <c r="J14" i="2"/>
  <c r="E14" i="2"/>
  <c r="J13" i="2"/>
  <c r="E13" i="2"/>
  <c r="J12" i="2"/>
  <c r="J11" i="2"/>
  <c r="J10" i="2"/>
  <c r="J9" i="2"/>
  <c r="J8" i="2"/>
  <c r="K7" i="2"/>
  <c r="J7" i="2"/>
  <c r="K6" i="2"/>
  <c r="G6" i="2" s="1"/>
  <c r="H6" i="2" s="1"/>
  <c r="J6" i="2"/>
  <c r="J5" i="2"/>
  <c r="K4" i="2"/>
  <c r="J4" i="2"/>
  <c r="A15" i="2" s="1"/>
  <c r="J3" i="2"/>
  <c r="A3" i="2" s="1"/>
  <c r="H2" i="2"/>
  <c r="I2" i="2" s="1"/>
  <c r="A2" i="2"/>
  <c r="J155" i="31" l="1"/>
  <c r="J29" i="31"/>
  <c r="J529" i="31"/>
  <c r="I525" i="31" s="1"/>
  <c r="J525" i="31" s="1"/>
  <c r="K63" i="2"/>
  <c r="G63" i="2" s="1"/>
  <c r="H63" i="2" s="1"/>
  <c r="I64" i="2" s="1"/>
  <c r="J161" i="31"/>
  <c r="K40" i="2"/>
  <c r="G40" i="2" s="1"/>
  <c r="H40" i="2" s="1"/>
  <c r="J245" i="31"/>
  <c r="I241" i="31" s="1"/>
  <c r="J241" i="31" s="1"/>
  <c r="K36" i="2"/>
  <c r="G36" i="2" s="1"/>
  <c r="H36" i="2" s="1"/>
  <c r="K47" i="2"/>
  <c r="G47" i="2" s="1"/>
  <c r="H47" i="2" s="1"/>
  <c r="J432" i="31"/>
  <c r="I428" i="31" s="1"/>
  <c r="J428" i="31" s="1"/>
  <c r="K34" i="2"/>
  <c r="G34" i="2" s="1"/>
  <c r="H34" i="2" s="1"/>
  <c r="K32" i="2"/>
  <c r="G32" i="2" s="1"/>
  <c r="H32" i="2" s="1"/>
  <c r="G33" i="2"/>
  <c r="H33" i="2" s="1"/>
  <c r="K24" i="2"/>
  <c r="G24" i="2" s="1"/>
  <c r="H24" i="2" s="1"/>
  <c r="K46" i="2"/>
  <c r="K48" i="2"/>
  <c r="G48" i="2" s="1"/>
  <c r="H48" i="2" s="1"/>
  <c r="K53" i="2"/>
  <c r="G53" i="2" s="1"/>
  <c r="H53" i="2" s="1"/>
  <c r="K54" i="2"/>
  <c r="G54" i="2" s="1"/>
  <c r="H54" i="2" s="1"/>
  <c r="K55" i="2"/>
  <c r="G55" i="2" s="1"/>
  <c r="H55" i="2" s="1"/>
  <c r="J348" i="31"/>
  <c r="I343" i="31" s="1"/>
  <c r="J343" i="31" s="1"/>
  <c r="J593" i="31"/>
  <c r="I573" i="31" s="1"/>
  <c r="J573" i="31" s="1"/>
  <c r="J251" i="31"/>
  <c r="I246" i="31" s="1"/>
  <c r="J246" i="31" s="1"/>
  <c r="G35" i="2"/>
  <c r="H35" i="2" s="1"/>
  <c r="G41" i="2"/>
  <c r="H41" i="2" s="1"/>
  <c r="J438" i="31"/>
  <c r="I433" i="31" s="1"/>
  <c r="J433" i="31" s="1"/>
  <c r="K23" i="2"/>
  <c r="G23" i="2" s="1"/>
  <c r="H23" i="2" s="1"/>
  <c r="K9" i="2"/>
  <c r="G9" i="2" s="1"/>
  <c r="H9" i="2" s="1"/>
  <c r="J309" i="31"/>
  <c r="I289" i="31" s="1"/>
  <c r="J289" i="31" s="1"/>
  <c r="I156" i="31"/>
  <c r="J156" i="31" s="1"/>
  <c r="K15" i="2"/>
  <c r="G15" i="2" s="1"/>
  <c r="H15" i="2" s="1"/>
  <c r="K16" i="2"/>
  <c r="G16" i="2" s="1"/>
  <c r="H16" i="2" s="1"/>
  <c r="K17" i="2"/>
  <c r="G17" i="2" s="1"/>
  <c r="H17" i="2" s="1"/>
  <c r="K22" i="2"/>
  <c r="G22" i="2" s="1"/>
  <c r="H22" i="2" s="1"/>
  <c r="G4" i="2"/>
  <c r="H4" i="2" s="1"/>
  <c r="G18" i="2"/>
  <c r="H18" i="2" s="1"/>
  <c r="G42" i="2"/>
  <c r="H42" i="2" s="1"/>
  <c r="G45" i="2"/>
  <c r="H45" i="2" s="1"/>
  <c r="G49" i="2"/>
  <c r="H49" i="2" s="1"/>
  <c r="G51" i="2"/>
  <c r="H51" i="2" s="1"/>
  <c r="G8" i="2"/>
  <c r="H8" i="2" s="1"/>
  <c r="B59" i="31"/>
  <c r="B10" i="31"/>
  <c r="B20" i="31"/>
  <c r="I310" i="31"/>
  <c r="J310" i="31" s="1"/>
  <c r="G7" i="2"/>
  <c r="H7" i="2" s="1"/>
  <c r="G13" i="2"/>
  <c r="H13" i="2" s="1"/>
  <c r="G21" i="2"/>
  <c r="H21" i="2" s="1"/>
  <c r="H28" i="2"/>
  <c r="G39" i="2"/>
  <c r="H39" i="2" s="1"/>
  <c r="G43" i="2"/>
  <c r="H43" i="2" s="1"/>
  <c r="G46" i="2"/>
  <c r="H46" i="2" s="1"/>
  <c r="G50" i="2"/>
  <c r="H50" i="2" s="1"/>
  <c r="G3" i="2"/>
  <c r="H3" i="2" s="1"/>
  <c r="I30" i="31"/>
  <c r="J30" i="31" s="1"/>
  <c r="A67" i="2"/>
  <c r="J108" i="31"/>
  <c r="I90" i="31" s="1"/>
  <c r="J90" i="31" s="1"/>
  <c r="J572" i="31"/>
  <c r="I557" i="31" s="1"/>
  <c r="J557" i="31" s="1"/>
  <c r="J219" i="31"/>
  <c r="I199" i="31" s="1"/>
  <c r="J199" i="31" s="1"/>
  <c r="J385" i="31"/>
  <c r="I370" i="31" s="1"/>
  <c r="J370" i="31" s="1"/>
  <c r="J288" i="31"/>
  <c r="I273" i="31" s="1"/>
  <c r="J273" i="31" s="1"/>
  <c r="J459" i="31"/>
  <c r="I439" i="31" s="1"/>
  <c r="J439" i="31" s="1"/>
  <c r="J272" i="31"/>
  <c r="I252" i="31" s="1"/>
  <c r="J252" i="31" s="1"/>
  <c r="J182" i="31"/>
  <c r="I162" i="31" s="1"/>
  <c r="J162" i="31" s="1"/>
  <c r="G20" i="2"/>
  <c r="H20" i="2" s="1"/>
  <c r="G38" i="2"/>
  <c r="H38" i="2" s="1"/>
  <c r="J556" i="31"/>
  <c r="I536" i="31" s="1"/>
  <c r="J536" i="31" s="1"/>
  <c r="J475" i="31"/>
  <c r="I460" i="31" s="1"/>
  <c r="J460" i="31" s="1"/>
  <c r="J198" i="31"/>
  <c r="I183" i="31" s="1"/>
  <c r="J183" i="31" s="1"/>
  <c r="J70" i="31"/>
  <c r="I58" i="31" s="1"/>
  <c r="J58" i="31" s="1"/>
  <c r="J496" i="31"/>
  <c r="I476" i="31" s="1"/>
  <c r="J476" i="31" s="1"/>
  <c r="J406" i="31"/>
  <c r="I386" i="31" s="1"/>
  <c r="J386" i="31" s="1"/>
  <c r="J129" i="31"/>
  <c r="I109" i="31" s="1"/>
  <c r="J109" i="31" s="1"/>
  <c r="J57" i="31"/>
  <c r="I36" i="31" s="1"/>
  <c r="J36" i="31" s="1"/>
  <c r="B70" i="31"/>
  <c r="Q84" i="31"/>
  <c r="B84" i="31"/>
  <c r="B167" i="31"/>
  <c r="B100" i="31"/>
  <c r="B140" i="31"/>
  <c r="B160" i="31"/>
  <c r="B55" i="31"/>
  <c r="B64" i="31"/>
  <c r="B75" i="31"/>
  <c r="B83" i="31"/>
  <c r="B108" i="31"/>
  <c r="B133" i="31"/>
  <c r="B143" i="31"/>
  <c r="B152" i="31"/>
  <c r="B168" i="31"/>
  <c r="B176" i="31"/>
  <c r="B52" i="31"/>
  <c r="B68" i="31"/>
  <c r="I7" i="31"/>
  <c r="J7" i="31" s="1"/>
  <c r="B99" i="31"/>
  <c r="B111" i="31"/>
  <c r="B119" i="31"/>
  <c r="B128" i="31"/>
  <c r="B138" i="31"/>
  <c r="B158" i="31"/>
  <c r="B189" i="31"/>
  <c r="B201" i="31"/>
  <c r="B209" i="31"/>
  <c r="B218" i="31"/>
  <c r="B228" i="31"/>
  <c r="B248" i="31"/>
  <c r="B307" i="31"/>
  <c r="B348" i="31"/>
  <c r="B224" i="31"/>
  <c r="B243" i="31"/>
  <c r="B255" i="31"/>
  <c r="B263" i="31"/>
  <c r="B280" i="31"/>
  <c r="B296" i="31"/>
  <c r="B304" i="31"/>
  <c r="I317" i="31"/>
  <c r="J317" i="31" s="1"/>
  <c r="B330" i="31"/>
  <c r="B186" i="31"/>
  <c r="Q194" i="31"/>
  <c r="B194" i="31"/>
  <c r="B202" i="31"/>
  <c r="B210" i="31"/>
  <c r="B238" i="31"/>
  <c r="B274" i="31"/>
  <c r="B305" i="31"/>
  <c r="B344" i="31"/>
  <c r="B198" i="31"/>
  <c r="B223" i="31"/>
  <c r="B233" i="31"/>
  <c r="B242" i="31"/>
  <c r="B258" i="31"/>
  <c r="B266" i="31"/>
  <c r="B277" i="31"/>
  <c r="Q285" i="31"/>
  <c r="B285" i="31"/>
  <c r="B297" i="31"/>
  <c r="B306" i="31"/>
  <c r="B319" i="31"/>
  <c r="B327" i="31"/>
  <c r="B335" i="31"/>
  <c r="B345" i="31"/>
  <c r="B328" i="31"/>
  <c r="B354" i="31"/>
  <c r="B362" i="31"/>
  <c r="B379" i="31"/>
  <c r="B397" i="31"/>
  <c r="B382" i="31"/>
  <c r="Q382" i="31"/>
  <c r="B355" i="31"/>
  <c r="B363" i="31"/>
  <c r="B374" i="31"/>
  <c r="B383" i="31"/>
  <c r="B367" i="31"/>
  <c r="B395" i="31"/>
  <c r="B408" i="31"/>
  <c r="B434" i="31"/>
  <c r="B469" i="31"/>
  <c r="B385" i="31"/>
  <c r="B410" i="31"/>
  <c r="B420" i="31"/>
  <c r="B429" i="31"/>
  <c r="B445" i="31"/>
  <c r="B453" i="31"/>
  <c r="B464" i="31"/>
  <c r="B478" i="31"/>
  <c r="B489" i="31"/>
  <c r="B398" i="31"/>
  <c r="B409" i="31"/>
  <c r="B419" i="31"/>
  <c r="B436" i="31"/>
  <c r="B457" i="31"/>
  <c r="B483" i="31"/>
  <c r="B411" i="31"/>
  <c r="B430" i="31"/>
  <c r="B442" i="31"/>
  <c r="B450" i="31"/>
  <c r="B468" i="31"/>
  <c r="I504" i="31"/>
  <c r="J504" i="31" s="1"/>
  <c r="B514" i="31"/>
  <c r="B482" i="31"/>
  <c r="B490" i="31"/>
  <c r="B513" i="31"/>
  <c r="B531" i="31"/>
  <c r="B494" i="31"/>
  <c r="B508" i="31"/>
  <c r="B524" i="31"/>
  <c r="B538" i="31"/>
  <c r="B549" i="31"/>
  <c r="B515" i="31"/>
  <c r="B542" i="31"/>
  <c r="B550" i="31"/>
  <c r="B561" i="31"/>
  <c r="Q569" i="31"/>
  <c r="B569" i="31"/>
  <c r="B581" i="31"/>
  <c r="B590" i="31"/>
  <c r="B528" i="31"/>
  <c r="B571" i="31"/>
  <c r="B598" i="31"/>
  <c r="B566" i="31"/>
  <c r="B582" i="31"/>
  <c r="B593" i="31"/>
  <c r="B552" i="31"/>
  <c r="B574" i="31"/>
  <c r="B22" i="31"/>
  <c r="B50" i="31"/>
  <c r="B40" i="31"/>
  <c r="B13" i="31"/>
  <c r="B34" i="31"/>
  <c r="B15" i="31"/>
  <c r="B45" i="31"/>
  <c r="B37" i="31"/>
  <c r="B127" i="31"/>
  <c r="B175" i="31"/>
  <c r="B78" i="31"/>
  <c r="Q86" i="31"/>
  <c r="B86" i="31"/>
  <c r="B145" i="31"/>
  <c r="B169" i="31"/>
  <c r="B49" i="31"/>
  <c r="B94" i="31"/>
  <c r="B129" i="31"/>
  <c r="B155" i="31"/>
  <c r="B178" i="31"/>
  <c r="B67" i="31"/>
  <c r="B77" i="31"/>
  <c r="Q85" i="31"/>
  <c r="B85" i="31"/>
  <c r="I137" i="31"/>
  <c r="J137" i="31" s="1"/>
  <c r="B147" i="31"/>
  <c r="B170" i="31"/>
  <c r="B179" i="31"/>
  <c r="B57" i="31"/>
  <c r="B93" i="31"/>
  <c r="B101" i="31"/>
  <c r="B113" i="31"/>
  <c r="B121" i="31"/>
  <c r="B132" i="31"/>
  <c r="B142" i="31"/>
  <c r="B159" i="31"/>
  <c r="B180" i="31"/>
  <c r="B191" i="31"/>
  <c r="B203" i="31"/>
  <c r="B211" i="31"/>
  <c r="B222" i="31"/>
  <c r="B232" i="31"/>
  <c r="B249" i="31"/>
  <c r="B270" i="31"/>
  <c r="I338" i="31"/>
  <c r="J338" i="31" s="1"/>
  <c r="B217" i="31"/>
  <c r="B231" i="31"/>
  <c r="B257" i="31"/>
  <c r="B265" i="31"/>
  <c r="B282" i="31"/>
  <c r="B298" i="31"/>
  <c r="B309" i="31"/>
  <c r="B318" i="31"/>
  <c r="B334" i="31"/>
  <c r="B188" i="31"/>
  <c r="B196" i="31"/>
  <c r="B204" i="31"/>
  <c r="B212" i="31"/>
  <c r="B221" i="31"/>
  <c r="B247" i="31"/>
  <c r="B288" i="31"/>
  <c r="B313" i="31"/>
  <c r="B347" i="31"/>
  <c r="I227" i="31"/>
  <c r="J227" i="31" s="1"/>
  <c r="B237" i="31"/>
  <c r="B260" i="31"/>
  <c r="B269" i="31"/>
  <c r="B279" i="31"/>
  <c r="B291" i="31"/>
  <c r="B299" i="31"/>
  <c r="B308" i="31"/>
  <c r="B321" i="31"/>
  <c r="B329" i="31"/>
  <c r="B332" i="31"/>
  <c r="B356" i="31"/>
  <c r="B364" i="31"/>
  <c r="B373" i="31"/>
  <c r="B384" i="31"/>
  <c r="B365" i="31"/>
  <c r="B389" i="31"/>
  <c r="B357" i="31"/>
  <c r="B366" i="31"/>
  <c r="B376" i="31"/>
  <c r="B390" i="31"/>
  <c r="B401" i="31"/>
  <c r="B417" i="31"/>
  <c r="B437" i="31"/>
  <c r="Q471" i="31"/>
  <c r="B471" i="31"/>
  <c r="I414" i="31"/>
  <c r="J414" i="31" s="1"/>
  <c r="B424" i="31"/>
  <c r="B447" i="31"/>
  <c r="B456" i="31"/>
  <c r="B466" i="31"/>
  <c r="B479" i="31"/>
  <c r="B392" i="31"/>
  <c r="B400" i="31"/>
  <c r="B423" i="31"/>
  <c r="B438" i="31"/>
  <c r="B404" i="31"/>
  <c r="B418" i="31"/>
  <c r="B444" i="31"/>
  <c r="B452" i="31"/>
  <c r="B477" i="31"/>
  <c r="B518" i="31"/>
  <c r="B527" i="31"/>
  <c r="B484" i="31"/>
  <c r="B493" i="31"/>
  <c r="B517" i="31"/>
  <c r="B547" i="31"/>
  <c r="I497" i="31"/>
  <c r="J497" i="31" s="1"/>
  <c r="B512" i="31"/>
  <c r="B539" i="31"/>
  <c r="B556" i="31"/>
  <c r="B498" i="31"/>
  <c r="B519" i="31"/>
  <c r="B543" i="31"/>
  <c r="B544" i="31"/>
  <c r="B553" i="31"/>
  <c r="B563" i="31"/>
  <c r="B575" i="31"/>
  <c r="B583" i="31"/>
  <c r="B592" i="31"/>
  <c r="B532" i="31"/>
  <c r="B591" i="31"/>
  <c r="B560" i="31"/>
  <c r="Q568" i="31"/>
  <c r="B568" i="31"/>
  <c r="B576" i="31"/>
  <c r="B584" i="31"/>
  <c r="B558" i="31"/>
  <c r="B589" i="31"/>
  <c r="B29" i="31"/>
  <c r="B18" i="31"/>
  <c r="B47" i="31"/>
  <c r="B38" i="31"/>
  <c r="B24" i="31"/>
  <c r="B43" i="31"/>
  <c r="B92" i="31"/>
  <c r="B124" i="31"/>
  <c r="B35" i="31"/>
  <c r="B61" i="31"/>
  <c r="I130" i="31"/>
  <c r="J130" i="31" s="1"/>
  <c r="B177" i="31"/>
  <c r="B66" i="31"/>
  <c r="B102" i="31"/>
  <c r="B118" i="31"/>
  <c r="B144" i="31"/>
  <c r="B48" i="31"/>
  <c r="B33" i="31"/>
  <c r="B16" i="31"/>
  <c r="B63" i="31"/>
  <c r="B80" i="31"/>
  <c r="B91" i="31"/>
  <c r="B149" i="31"/>
  <c r="B163" i="31"/>
  <c r="B171" i="31"/>
  <c r="B182" i="31"/>
  <c r="B51" i="31"/>
  <c r="B72" i="31"/>
  <c r="B96" i="31"/>
  <c r="Q104" i="31"/>
  <c r="B104" i="31"/>
  <c r="B112" i="31"/>
  <c r="B120" i="31"/>
  <c r="B148" i="31"/>
  <c r="B184" i="31"/>
  <c r="B60" i="31"/>
  <c r="B69" i="31"/>
  <c r="B79" i="31"/>
  <c r="B87" i="31"/>
  <c r="B110" i="31"/>
  <c r="B150" i="31"/>
  <c r="B164" i="31"/>
  <c r="B172" i="31"/>
  <c r="B181" i="31"/>
  <c r="B89" i="31"/>
  <c r="B95" i="31"/>
  <c r="Q103" i="31"/>
  <c r="B103" i="31"/>
  <c r="B115" i="31"/>
  <c r="B123" i="31"/>
  <c r="B146" i="31"/>
  <c r="B161" i="31"/>
  <c r="B193" i="31"/>
  <c r="Q193" i="31"/>
  <c r="B205" i="31"/>
  <c r="B213" i="31"/>
  <c r="B236" i="31"/>
  <c r="B251" i="31"/>
  <c r="B339" i="31"/>
  <c r="I220" i="31"/>
  <c r="J220" i="31" s="1"/>
  <c r="B235" i="31"/>
  <c r="B259" i="31"/>
  <c r="B267" i="31"/>
  <c r="B276" i="31"/>
  <c r="Q284" i="31"/>
  <c r="B284" i="31"/>
  <c r="B292" i="31"/>
  <c r="B300" i="31"/>
  <c r="B322" i="31"/>
  <c r="B190" i="31"/>
  <c r="B206" i="31"/>
  <c r="B214" i="31"/>
  <c r="B230" i="31"/>
  <c r="B250" i="31"/>
  <c r="B200" i="31"/>
  <c r="B240" i="31"/>
  <c r="B254" i="31"/>
  <c r="B262" i="31"/>
  <c r="B271" i="31"/>
  <c r="B281" i="31"/>
  <c r="B293" i="31"/>
  <c r="B301" i="31"/>
  <c r="B312" i="31"/>
  <c r="B323" i="31"/>
  <c r="B331" i="31"/>
  <c r="B341" i="31"/>
  <c r="B320" i="31"/>
  <c r="B336" i="31"/>
  <c r="B350" i="31"/>
  <c r="B358" i="31"/>
  <c r="B369" i="31"/>
  <c r="B375" i="31"/>
  <c r="B371" i="31"/>
  <c r="B399" i="31"/>
  <c r="B359" i="31"/>
  <c r="B368" i="31"/>
  <c r="B378" i="31"/>
  <c r="B393" i="31"/>
  <c r="B406" i="31"/>
  <c r="B421" i="31"/>
  <c r="B432" i="31"/>
  <c r="B455" i="31"/>
  <c r="B473" i="31"/>
  <c r="B387" i="31"/>
  <c r="B427" i="31"/>
  <c r="B441" i="31"/>
  <c r="B449" i="31"/>
  <c r="B458" i="31"/>
  <c r="Q470" i="31"/>
  <c r="B470" i="31"/>
  <c r="B480" i="31"/>
  <c r="B394" i="31"/>
  <c r="B403" i="31"/>
  <c r="B431" i="31"/>
  <c r="B467" i="31"/>
  <c r="I407" i="31"/>
  <c r="J407" i="31" s="1"/>
  <c r="B422" i="31"/>
  <c r="B446" i="31"/>
  <c r="B454" i="31"/>
  <c r="B463" i="31"/>
  <c r="B485" i="31"/>
  <c r="B492" i="31"/>
  <c r="B506" i="31"/>
  <c r="B521" i="31"/>
  <c r="B486" i="31"/>
  <c r="B495" i="31"/>
  <c r="B505" i="31"/>
  <c r="B516" i="31"/>
  <c r="B540" i="31"/>
  <c r="B491" i="31"/>
  <c r="B507" i="31"/>
  <c r="B526" i="31"/>
  <c r="B551" i="31"/>
  <c r="B546" i="31"/>
  <c r="B555" i="31"/>
  <c r="B565" i="31"/>
  <c r="B577" i="31"/>
  <c r="B585" i="31"/>
  <c r="B596" i="31"/>
  <c r="B533" i="31"/>
  <c r="B554" i="31"/>
  <c r="I594" i="31"/>
  <c r="J594" i="31" s="1"/>
  <c r="B562" i="31"/>
  <c r="B570" i="31"/>
  <c r="B578" i="31"/>
  <c r="B586" i="31"/>
  <c r="B595" i="31"/>
  <c r="B572" i="31"/>
  <c r="B597" i="31"/>
  <c r="B14" i="31"/>
  <c r="J89" i="31"/>
  <c r="I71" i="31" s="1"/>
  <c r="J71" i="31" s="1"/>
  <c r="B44" i="31"/>
  <c r="B21" i="31"/>
  <c r="B23" i="31"/>
  <c r="B41" i="31"/>
  <c r="B11" i="31"/>
  <c r="B76" i="31"/>
  <c r="B141" i="31"/>
  <c r="B56" i="31"/>
  <c r="B116" i="31"/>
  <c r="J369" i="31"/>
  <c r="I349" i="31" s="1"/>
  <c r="J349" i="31" s="1"/>
  <c r="B32" i="31"/>
  <c r="B65" i="31"/>
  <c r="B74" i="31"/>
  <c r="B82" i="31"/>
  <c r="B107" i="31"/>
  <c r="B134" i="31"/>
  <c r="B153" i="31"/>
  <c r="B165" i="31"/>
  <c r="B173" i="31"/>
  <c r="B54" i="31"/>
  <c r="B88" i="31"/>
  <c r="B98" i="31"/>
  <c r="B106" i="31"/>
  <c r="B114" i="31"/>
  <c r="B122" i="31"/>
  <c r="B131" i="31"/>
  <c r="I151" i="31"/>
  <c r="J151" i="31" s="1"/>
  <c r="B157" i="31"/>
  <c r="B197" i="31"/>
  <c r="B62" i="31"/>
  <c r="B73" i="31"/>
  <c r="B81" i="31"/>
  <c r="B125" i="31"/>
  <c r="B139" i="31"/>
  <c r="B166" i="31"/>
  <c r="B174" i="31"/>
  <c r="B185" i="31"/>
  <c r="B97" i="31"/>
  <c r="Q105" i="31"/>
  <c r="B105" i="31"/>
  <c r="B117" i="31"/>
  <c r="B126" i="31"/>
  <c r="B154" i="31"/>
  <c r="B187" i="31"/>
  <c r="B195" i="31"/>
  <c r="Q195" i="31"/>
  <c r="B207" i="31"/>
  <c r="B216" i="31"/>
  <c r="B244" i="31"/>
  <c r="B287" i="31"/>
  <c r="B314" i="31"/>
  <c r="B342" i="31"/>
  <c r="B239" i="31"/>
  <c r="B253" i="31"/>
  <c r="B261" i="31"/>
  <c r="B272" i="31"/>
  <c r="B278" i="31"/>
  <c r="B286" i="31"/>
  <c r="B294" i="31"/>
  <c r="B302" i="31"/>
  <c r="B311" i="31"/>
  <c r="B326" i="31"/>
  <c r="B346" i="31"/>
  <c r="B192" i="31"/>
  <c r="B208" i="31"/>
  <c r="B219" i="31"/>
  <c r="B234" i="31"/>
  <c r="B245" i="31"/>
  <c r="B268" i="31"/>
  <c r="B290" i="31"/>
  <c r="B337" i="31"/>
  <c r="B351" i="31"/>
  <c r="B215" i="31"/>
  <c r="B229" i="31"/>
  <c r="B256" i="31"/>
  <c r="B264" i="31"/>
  <c r="B275" i="31"/>
  <c r="Q283" i="31"/>
  <c r="B283" i="31"/>
  <c r="B295" i="31"/>
  <c r="B303" i="31"/>
  <c r="B325" i="31"/>
  <c r="B333" i="31"/>
  <c r="B324" i="31"/>
  <c r="B340" i="31"/>
  <c r="B352" i="31"/>
  <c r="B360" i="31"/>
  <c r="B377" i="31"/>
  <c r="B388" i="31"/>
  <c r="B380" i="31"/>
  <c r="Q380" i="31"/>
  <c r="B353" i="31"/>
  <c r="B361" i="31"/>
  <c r="B372" i="31"/>
  <c r="Q381" i="31"/>
  <c r="B381" i="31"/>
  <c r="B391" i="31"/>
  <c r="B425" i="31"/>
  <c r="B461" i="31"/>
  <c r="B487" i="31"/>
  <c r="B402" i="31"/>
  <c r="B416" i="31"/>
  <c r="B443" i="31"/>
  <c r="B451" i="31"/>
  <c r="B462" i="31"/>
  <c r="B481" i="31"/>
  <c r="B396" i="31"/>
  <c r="B405" i="31"/>
  <c r="B415" i="31"/>
  <c r="B435" i="31"/>
  <c r="Q472" i="31"/>
  <c r="B472" i="31"/>
  <c r="B426" i="31"/>
  <c r="B440" i="31"/>
  <c r="B448" i="31"/>
  <c r="B459" i="31"/>
  <c r="B465" i="31"/>
  <c r="B475" i="31"/>
  <c r="B500" i="31"/>
  <c r="B510" i="31"/>
  <c r="B523" i="31"/>
  <c r="B545" i="31"/>
  <c r="B488" i="31"/>
  <c r="B499" i="31"/>
  <c r="B509" i="31"/>
  <c r="I530" i="31"/>
  <c r="J530" i="31" s="1"/>
  <c r="B474" i="31"/>
  <c r="B501" i="31"/>
  <c r="B522" i="31"/>
  <c r="B537" i="31"/>
  <c r="B541" i="31"/>
  <c r="B496" i="31"/>
  <c r="B511" i="31"/>
  <c r="B529" i="31"/>
  <c r="B548" i="31"/>
  <c r="B559" i="31"/>
  <c r="Q567" i="31"/>
  <c r="B567" i="31"/>
  <c r="B579" i="31"/>
  <c r="B587" i="31"/>
  <c r="B520" i="31"/>
  <c r="B535" i="31"/>
  <c r="B564" i="31"/>
  <c r="B580" i="31"/>
  <c r="B588" i="31"/>
  <c r="B534" i="31"/>
  <c r="B31" i="31"/>
  <c r="I25" i="31"/>
  <c r="J25" i="31" s="1"/>
  <c r="B27" i="31"/>
  <c r="B42" i="31"/>
  <c r="B26" i="31"/>
  <c r="B17" i="31"/>
  <c r="B46" i="31"/>
  <c r="B19" i="31"/>
  <c r="B39" i="31"/>
  <c r="B53" i="31"/>
  <c r="G10" i="2"/>
  <c r="H10" i="2" s="1"/>
  <c r="G5" i="2"/>
  <c r="H5" i="2" s="1"/>
  <c r="H27" i="2"/>
  <c r="G52" i="2"/>
  <c r="H52" i="2" s="1"/>
  <c r="H65" i="2"/>
  <c r="G19" i="2"/>
  <c r="H19" i="2" s="1"/>
  <c r="G37" i="2"/>
  <c r="H37" i="2" s="1"/>
  <c r="H57" i="2"/>
  <c r="H59" i="2"/>
  <c r="A6" i="2"/>
  <c r="A8" i="2"/>
  <c r="A5" i="2"/>
  <c r="A7" i="2"/>
  <c r="A4" i="2"/>
  <c r="A9" i="2"/>
  <c r="A12" i="2"/>
  <c r="A19" i="2"/>
  <c r="A23" i="2"/>
  <c r="A25" i="2"/>
  <c r="A28" i="2"/>
  <c r="A37" i="2"/>
  <c r="A44" i="2"/>
  <c r="A45" i="2"/>
  <c r="A46" i="2"/>
  <c r="A48" i="2"/>
  <c r="A51" i="2"/>
  <c r="A58" i="2"/>
  <c r="A68" i="2"/>
  <c r="A69" i="2"/>
  <c r="A16" i="2"/>
  <c r="A18" i="2"/>
  <c r="A29" i="2"/>
  <c r="A30" i="2"/>
  <c r="A31" i="2"/>
  <c r="A32" i="2"/>
  <c r="A34" i="2"/>
  <c r="A40" i="2"/>
  <c r="A43" i="2"/>
  <c r="A50" i="2"/>
  <c r="A54" i="2"/>
  <c r="A56" i="2"/>
  <c r="A59" i="2"/>
  <c r="A65" i="2"/>
  <c r="A11" i="2"/>
  <c r="A21" i="2"/>
  <c r="A22" i="2"/>
  <c r="A24" i="2"/>
  <c r="A26" i="2"/>
  <c r="A36" i="2"/>
  <c r="A39" i="2"/>
  <c r="A42" i="2"/>
  <c r="A47" i="2"/>
  <c r="A49" i="2"/>
  <c r="A60" i="2"/>
  <c r="A61" i="2"/>
  <c r="A62" i="2"/>
  <c r="A63" i="2"/>
  <c r="A66" i="2"/>
  <c r="A10" i="2"/>
  <c r="A13" i="2"/>
  <c r="A14" i="2"/>
  <c r="A17" i="2"/>
  <c r="A20" i="2"/>
  <c r="A27" i="2"/>
  <c r="A33" i="2"/>
  <c r="A35" i="2"/>
  <c r="A38" i="2"/>
  <c r="A41" i="2"/>
  <c r="A52" i="2"/>
  <c r="A53" i="2"/>
  <c r="A55" i="2"/>
  <c r="A57" i="2"/>
  <c r="A64" i="2"/>
  <c r="K68" i="2" l="1"/>
  <c r="H68" i="2" s="1"/>
  <c r="K69" i="2" s="1"/>
  <c r="H69" i="2" s="1"/>
  <c r="I56" i="2"/>
  <c r="K60" i="2" s="1"/>
  <c r="H60" i="2" s="1"/>
  <c r="K61" i="2" s="1"/>
  <c r="H61" i="2" s="1"/>
  <c r="I226" i="31"/>
  <c r="J226" i="31" s="1"/>
  <c r="I503" i="31"/>
  <c r="J503" i="31" s="1"/>
  <c r="I136" i="31"/>
  <c r="J136" i="31" s="1"/>
  <c r="I316" i="31"/>
  <c r="J316" i="31" s="1"/>
  <c r="I413" i="31"/>
  <c r="J413" i="31" s="1"/>
  <c r="I6" i="31"/>
  <c r="J6" i="31" s="1"/>
  <c r="I25" i="2"/>
  <c r="K29" i="2" s="1"/>
  <c r="H29" i="2" s="1"/>
  <c r="K30" i="2" s="1"/>
  <c r="H30" i="2" s="1"/>
  <c r="G31" i="2"/>
  <c r="G62" i="2" l="1"/>
  <c r="G2" i="2"/>
  <c r="A207" i="13" l="1"/>
  <c r="G206" i="13"/>
  <c r="G205" i="13"/>
  <c r="D206" i="13"/>
  <c r="D205" i="13"/>
  <c r="D204" i="13"/>
  <c r="A206" i="13"/>
  <c r="A205" i="13"/>
  <c r="A204" i="13"/>
  <c r="L4" i="18" l="1"/>
  <c r="B18" i="13" l="1"/>
  <c r="L20" i="4" l="1"/>
  <c r="L19" i="4"/>
  <c r="K19" i="4" s="1"/>
  <c r="L18" i="4"/>
  <c r="K18" i="4" s="1"/>
  <c r="L17" i="4"/>
  <c r="K17" i="4" s="1"/>
  <c r="L16" i="4"/>
  <c r="K16" i="4" s="1"/>
  <c r="L15" i="4"/>
  <c r="K15" i="4" s="1"/>
  <c r="L14" i="4"/>
  <c r="K14" i="4" s="1"/>
  <c r="L13" i="4"/>
  <c r="K13" i="4" s="1"/>
  <c r="L12" i="4"/>
  <c r="K12" i="4" s="1"/>
  <c r="L11" i="4"/>
  <c r="K11" i="4" s="1"/>
  <c r="L10" i="4"/>
  <c r="K10" i="4" s="1"/>
  <c r="L9" i="4"/>
  <c r="K9" i="4" s="1"/>
  <c r="L8" i="4"/>
  <c r="K8" i="4" s="1"/>
  <c r="L7" i="4"/>
  <c r="K7" i="4" s="1"/>
  <c r="L6" i="4"/>
  <c r="K6" i="4" s="1"/>
  <c r="L5" i="4"/>
  <c r="K5" i="4" s="1"/>
  <c r="L4" i="4"/>
  <c r="K4" i="4" s="1"/>
  <c r="L3" i="4"/>
  <c r="K3" i="4" s="1"/>
  <c r="L22" i="4"/>
  <c r="L21" i="4"/>
  <c r="K20" i="4"/>
  <c r="J20" i="4"/>
  <c r="J19" i="4"/>
  <c r="H19" i="4"/>
  <c r="G19" i="4"/>
  <c r="J18" i="4"/>
  <c r="H18" i="4"/>
  <c r="G18" i="4"/>
  <c r="J17" i="4"/>
  <c r="H17" i="4"/>
  <c r="G17" i="4"/>
  <c r="J16" i="4"/>
  <c r="H16" i="4"/>
  <c r="G16" i="4"/>
  <c r="J15" i="4"/>
  <c r="H15" i="4"/>
  <c r="G15" i="4"/>
  <c r="J14" i="4"/>
  <c r="H14" i="4"/>
  <c r="G14" i="4"/>
  <c r="J13" i="4"/>
  <c r="H13" i="4"/>
  <c r="G13" i="4"/>
  <c r="J12" i="4"/>
  <c r="H12" i="4"/>
  <c r="G12" i="4"/>
  <c r="J11" i="4"/>
  <c r="H11" i="4"/>
  <c r="G11" i="4"/>
  <c r="J10" i="4"/>
  <c r="H10" i="4"/>
  <c r="G10" i="4"/>
  <c r="J9" i="4"/>
  <c r="H9" i="4"/>
  <c r="G9" i="4"/>
  <c r="J8" i="4"/>
  <c r="H8" i="4"/>
  <c r="G8" i="4"/>
  <c r="J7" i="4"/>
  <c r="H7" i="4"/>
  <c r="G7" i="4"/>
  <c r="J6" i="4"/>
  <c r="H6" i="4"/>
  <c r="G6" i="4"/>
  <c r="J5" i="4"/>
  <c r="H5" i="4"/>
  <c r="G5" i="4"/>
  <c r="J4" i="4"/>
  <c r="H4" i="4"/>
  <c r="G4" i="4"/>
  <c r="J3" i="4"/>
  <c r="H3" i="4"/>
  <c r="G3" i="4"/>
  <c r="A3" i="4"/>
  <c r="A2" i="4"/>
  <c r="A19" i="4" l="1"/>
  <c r="A10" i="4"/>
  <c r="A7" i="4"/>
  <c r="G20" i="4"/>
  <c r="H20" i="4" s="1"/>
  <c r="A6" i="4"/>
  <c r="A14" i="4"/>
  <c r="A18" i="4"/>
  <c r="A21" i="4"/>
  <c r="A22" i="4"/>
  <c r="A5" i="4"/>
  <c r="A9" i="4"/>
  <c r="A17" i="4"/>
  <c r="A13" i="4"/>
  <c r="A4" i="4"/>
  <c r="A8" i="4"/>
  <c r="A12" i="4"/>
  <c r="A16" i="4"/>
  <c r="A20" i="4"/>
  <c r="A11" i="4"/>
  <c r="A15" i="4"/>
  <c r="K21" i="4" l="1"/>
  <c r="H21" i="4" s="1"/>
  <c r="K22" i="4" l="1"/>
  <c r="H22" i="4" s="1"/>
  <c r="G2" i="4" s="1"/>
  <c r="B17" i="13" l="1"/>
  <c r="B195" i="13" l="1"/>
  <c r="J169" i="13"/>
  <c r="A66" i="13"/>
  <c r="J66" i="13" s="1"/>
  <c r="A64" i="13"/>
  <c r="A63" i="13"/>
  <c r="G62" i="13"/>
  <c r="A62" i="13"/>
  <c r="A61" i="13"/>
  <c r="A60" i="13"/>
  <c r="I18" i="13"/>
  <c r="H18" i="13"/>
  <c r="G18" i="13"/>
  <c r="F18" i="13"/>
  <c r="E18" i="13"/>
  <c r="C18" i="13"/>
  <c r="I17" i="13"/>
  <c r="H17" i="13"/>
  <c r="G17" i="13"/>
  <c r="F17" i="13"/>
  <c r="E17" i="13"/>
  <c r="C17" i="13"/>
  <c r="E16" i="13"/>
  <c r="J15" i="13"/>
  <c r="E9" i="13"/>
  <c r="J8" i="13"/>
  <c r="L62" i="3" l="1"/>
  <c r="K62" i="3" s="1"/>
  <c r="L61" i="3"/>
  <c r="K61" i="3" s="1"/>
  <c r="L60" i="3"/>
  <c r="K60" i="3" s="1"/>
  <c r="L58" i="3"/>
  <c r="L54" i="3"/>
  <c r="L53" i="3"/>
  <c r="M51" i="3"/>
  <c r="L51" i="3"/>
  <c r="D51" i="3"/>
  <c r="E51" i="3" s="1"/>
  <c r="M50" i="3"/>
  <c r="L50" i="3"/>
  <c r="D50" i="3"/>
  <c r="E50" i="3" s="1"/>
  <c r="M49" i="3"/>
  <c r="L49" i="3"/>
  <c r="D49" i="3"/>
  <c r="E49" i="3" s="1"/>
  <c r="B49" i="3"/>
  <c r="M48" i="3"/>
  <c r="L48" i="3"/>
  <c r="D48" i="3"/>
  <c r="E48" i="3" s="1"/>
  <c r="B48" i="3"/>
  <c r="M46" i="3"/>
  <c r="L46" i="3"/>
  <c r="D46" i="3"/>
  <c r="B46" i="3"/>
  <c r="M45" i="3"/>
  <c r="L45" i="3"/>
  <c r="D45" i="3"/>
  <c r="B45" i="3"/>
  <c r="M44" i="3"/>
  <c r="L44" i="3"/>
  <c r="D44" i="3"/>
  <c r="B44" i="3"/>
  <c r="M43" i="3"/>
  <c r="L43" i="3"/>
  <c r="D43" i="3"/>
  <c r="B43" i="3"/>
  <c r="M42" i="3"/>
  <c r="L42" i="3"/>
  <c r="D42" i="3"/>
  <c r="B42" i="3"/>
  <c r="M41" i="3"/>
  <c r="L41" i="3"/>
  <c r="D41" i="3"/>
  <c r="B41" i="3"/>
  <c r="M40" i="3"/>
  <c r="L40" i="3"/>
  <c r="D40" i="3"/>
  <c r="B40" i="3"/>
  <c r="M39" i="3"/>
  <c r="L39" i="3"/>
  <c r="D39" i="3"/>
  <c r="B39" i="3"/>
  <c r="M38" i="3"/>
  <c r="L38" i="3"/>
  <c r="D38" i="3"/>
  <c r="B38" i="3"/>
  <c r="M37" i="3"/>
  <c r="L37" i="3"/>
  <c r="D37" i="3"/>
  <c r="B37" i="3"/>
  <c r="M36" i="3"/>
  <c r="L36" i="3"/>
  <c r="D36" i="3"/>
  <c r="B36" i="3"/>
  <c r="M35" i="3"/>
  <c r="L35" i="3"/>
  <c r="D35" i="3"/>
  <c r="B35" i="3"/>
  <c r="M34" i="3"/>
  <c r="L34" i="3"/>
  <c r="D34" i="3"/>
  <c r="B34" i="3"/>
  <c r="M33" i="3"/>
  <c r="L33" i="3"/>
  <c r="D33" i="3"/>
  <c r="B33" i="3"/>
  <c r="M32" i="3"/>
  <c r="L32" i="3"/>
  <c r="D32" i="3"/>
  <c r="B32" i="3"/>
  <c r="M31" i="3"/>
  <c r="L31" i="3"/>
  <c r="D31" i="3"/>
  <c r="B31" i="3"/>
  <c r="L27" i="3"/>
  <c r="L26" i="3"/>
  <c r="M24" i="3"/>
  <c r="L24" i="3"/>
  <c r="D24" i="3"/>
  <c r="E24" i="3" s="1"/>
  <c r="M23" i="3"/>
  <c r="L23" i="3"/>
  <c r="D23" i="3"/>
  <c r="E23" i="3" s="1"/>
  <c r="M22" i="3"/>
  <c r="L22" i="3"/>
  <c r="D22" i="3"/>
  <c r="E22" i="3" s="1"/>
  <c r="B22" i="3"/>
  <c r="M21" i="3"/>
  <c r="L21" i="3"/>
  <c r="D21" i="3"/>
  <c r="E21" i="3" s="1"/>
  <c r="B21" i="3"/>
  <c r="M19" i="3"/>
  <c r="L19" i="3"/>
  <c r="D19" i="3"/>
  <c r="B19" i="3"/>
  <c r="M18" i="3"/>
  <c r="L18" i="3"/>
  <c r="D18" i="3"/>
  <c r="B18" i="3"/>
  <c r="M17" i="3"/>
  <c r="L17" i="3"/>
  <c r="D17" i="3"/>
  <c r="B17" i="3"/>
  <c r="M16" i="3"/>
  <c r="L16" i="3"/>
  <c r="D16" i="3"/>
  <c r="B16" i="3"/>
  <c r="M15" i="3"/>
  <c r="L15" i="3"/>
  <c r="D15" i="3"/>
  <c r="B15" i="3"/>
  <c r="M14" i="3"/>
  <c r="L14" i="3"/>
  <c r="D14" i="3"/>
  <c r="B14" i="3"/>
  <c r="M13" i="3"/>
  <c r="L13" i="3"/>
  <c r="D13" i="3"/>
  <c r="B13" i="3"/>
  <c r="M12" i="3"/>
  <c r="L12" i="3"/>
  <c r="D12" i="3"/>
  <c r="B12" i="3"/>
  <c r="M11" i="3"/>
  <c r="L11" i="3"/>
  <c r="D11" i="3"/>
  <c r="B11" i="3"/>
  <c r="M10" i="3"/>
  <c r="L10" i="3"/>
  <c r="D10" i="3"/>
  <c r="B10" i="3"/>
  <c r="M9" i="3"/>
  <c r="L9" i="3"/>
  <c r="D9" i="3"/>
  <c r="B9" i="3"/>
  <c r="M8" i="3"/>
  <c r="L8" i="3"/>
  <c r="D8" i="3"/>
  <c r="B8" i="3"/>
  <c r="M7" i="3"/>
  <c r="L7" i="3"/>
  <c r="D7" i="3"/>
  <c r="B7" i="3"/>
  <c r="M6" i="3"/>
  <c r="L6" i="3"/>
  <c r="D6" i="3"/>
  <c r="B6" i="3"/>
  <c r="M5" i="3"/>
  <c r="L5" i="3"/>
  <c r="D5" i="3"/>
  <c r="B5" i="3"/>
  <c r="M4" i="3"/>
  <c r="L4" i="3"/>
  <c r="D4" i="3"/>
  <c r="B4" i="3"/>
  <c r="M3" i="3"/>
  <c r="L3" i="3"/>
  <c r="D3" i="3"/>
  <c r="B3" i="3"/>
  <c r="L64" i="3"/>
  <c r="L63" i="3"/>
  <c r="J62" i="3"/>
  <c r="J61" i="3"/>
  <c r="J60" i="3"/>
  <c r="Q58" i="3"/>
  <c r="M58" i="3" s="1"/>
  <c r="J58" i="3"/>
  <c r="I57" i="3"/>
  <c r="H57" i="3"/>
  <c r="L56" i="3"/>
  <c r="L55" i="3"/>
  <c r="J54" i="3"/>
  <c r="J53" i="3"/>
  <c r="J51" i="3"/>
  <c r="J50" i="3"/>
  <c r="O49" i="3"/>
  <c r="J49" i="3"/>
  <c r="J48" i="3"/>
  <c r="J47" i="3"/>
  <c r="C47" i="3"/>
  <c r="D47" i="3" s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H30" i="3"/>
  <c r="I30" i="3" s="1"/>
  <c r="L29" i="3"/>
  <c r="L28" i="3"/>
  <c r="J27" i="3"/>
  <c r="J26" i="3"/>
  <c r="J24" i="3"/>
  <c r="J23" i="3"/>
  <c r="O22" i="3"/>
  <c r="J22" i="3"/>
  <c r="J21" i="3"/>
  <c r="J20" i="3"/>
  <c r="C20" i="3"/>
  <c r="D20" i="3" s="1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2" i="3"/>
  <c r="I2" i="3" s="1"/>
  <c r="A2" i="3"/>
  <c r="H61" i="3" l="1"/>
  <c r="A18" i="3"/>
  <c r="H62" i="3"/>
  <c r="L20" i="3"/>
  <c r="L47" i="3"/>
  <c r="M20" i="3"/>
  <c r="M47" i="3"/>
  <c r="B20" i="3"/>
  <c r="B47" i="3"/>
  <c r="E38" i="3"/>
  <c r="K35" i="3"/>
  <c r="G35" i="3" s="1"/>
  <c r="H35" i="3" s="1"/>
  <c r="E32" i="3"/>
  <c r="E36" i="3"/>
  <c r="E45" i="3"/>
  <c r="K22" i="3"/>
  <c r="G22" i="3" s="1"/>
  <c r="H22" i="3" s="1"/>
  <c r="K39" i="3"/>
  <c r="G39" i="3" s="1"/>
  <c r="H39" i="3" s="1"/>
  <c r="K43" i="3"/>
  <c r="G43" i="3" s="1"/>
  <c r="H43" i="3" s="1"/>
  <c r="K23" i="3"/>
  <c r="G23" i="3" s="1"/>
  <c r="K50" i="3"/>
  <c r="G50" i="3" s="1"/>
  <c r="K24" i="3"/>
  <c r="G24" i="3" s="1"/>
  <c r="E33" i="3"/>
  <c r="E39" i="3"/>
  <c r="E40" i="3"/>
  <c r="E42" i="3"/>
  <c r="E43" i="3"/>
  <c r="E44" i="3"/>
  <c r="E46" i="3"/>
  <c r="K51" i="3"/>
  <c r="G51" i="3" s="1"/>
  <c r="E35" i="3"/>
  <c r="E37" i="3"/>
  <c r="E41" i="3"/>
  <c r="K9" i="3"/>
  <c r="G9" i="3" s="1"/>
  <c r="H9" i="3" s="1"/>
  <c r="K16" i="3"/>
  <c r="G16" i="3" s="1"/>
  <c r="H16" i="3" s="1"/>
  <c r="K58" i="3"/>
  <c r="G58" i="3" s="1"/>
  <c r="H58" i="3" s="1"/>
  <c r="I59" i="3" s="1"/>
  <c r="K4" i="3"/>
  <c r="G4" i="3" s="1"/>
  <c r="H4" i="3" s="1"/>
  <c r="K5" i="3"/>
  <c r="G5" i="3" s="1"/>
  <c r="H5" i="3" s="1"/>
  <c r="K6" i="3"/>
  <c r="G6" i="3" s="1"/>
  <c r="H6" i="3" s="1"/>
  <c r="K7" i="3"/>
  <c r="G7" i="3" s="1"/>
  <c r="H7" i="3" s="1"/>
  <c r="K8" i="3"/>
  <c r="G8" i="3" s="1"/>
  <c r="H8" i="3" s="1"/>
  <c r="K11" i="3"/>
  <c r="G11" i="3" s="1"/>
  <c r="H11" i="3" s="1"/>
  <c r="K12" i="3"/>
  <c r="G12" i="3" s="1"/>
  <c r="H12" i="3" s="1"/>
  <c r="K13" i="3"/>
  <c r="G13" i="3" s="1"/>
  <c r="H13" i="3" s="1"/>
  <c r="K15" i="3"/>
  <c r="G15" i="3" s="1"/>
  <c r="H15" i="3" s="1"/>
  <c r="K17" i="3"/>
  <c r="G17" i="3" s="1"/>
  <c r="H17" i="3" s="1"/>
  <c r="K19" i="3"/>
  <c r="G19" i="3" s="1"/>
  <c r="H19" i="3" s="1"/>
  <c r="K21" i="3"/>
  <c r="G21" i="3" s="1"/>
  <c r="H21" i="3" s="1"/>
  <c r="K31" i="3"/>
  <c r="G31" i="3" s="1"/>
  <c r="H31" i="3" s="1"/>
  <c r="K32" i="3"/>
  <c r="G32" i="3" s="1"/>
  <c r="H32" i="3" s="1"/>
  <c r="E5" i="3"/>
  <c r="E6" i="3"/>
  <c r="E7" i="3"/>
  <c r="E8" i="3"/>
  <c r="E14" i="3"/>
  <c r="E17" i="3"/>
  <c r="E18" i="3"/>
  <c r="K33" i="3"/>
  <c r="G33" i="3" s="1"/>
  <c r="H33" i="3" s="1"/>
  <c r="K34" i="3"/>
  <c r="G34" i="3" s="1"/>
  <c r="H34" i="3" s="1"/>
  <c r="K36" i="3"/>
  <c r="G36" i="3" s="1"/>
  <c r="H36" i="3" s="1"/>
  <c r="K37" i="3"/>
  <c r="G37" i="3" s="1"/>
  <c r="H37" i="3" s="1"/>
  <c r="K38" i="3"/>
  <c r="G38" i="3" s="1"/>
  <c r="H38" i="3" s="1"/>
  <c r="K40" i="3"/>
  <c r="G40" i="3" s="1"/>
  <c r="H40" i="3" s="1"/>
  <c r="K41" i="3"/>
  <c r="G41" i="3" s="1"/>
  <c r="H41" i="3" s="1"/>
  <c r="K42" i="3"/>
  <c r="G42" i="3" s="1"/>
  <c r="H42" i="3" s="1"/>
  <c r="K44" i="3"/>
  <c r="G44" i="3" s="1"/>
  <c r="H44" i="3" s="1"/>
  <c r="K45" i="3"/>
  <c r="G45" i="3" s="1"/>
  <c r="H45" i="3" s="1"/>
  <c r="K46" i="3"/>
  <c r="G46" i="3" s="1"/>
  <c r="H46" i="3" s="1"/>
  <c r="K48" i="3"/>
  <c r="G48" i="3" s="1"/>
  <c r="H48" i="3" s="1"/>
  <c r="K49" i="3"/>
  <c r="G49" i="3" s="1"/>
  <c r="H49" i="3" s="1"/>
  <c r="E31" i="3"/>
  <c r="E34" i="3"/>
  <c r="E11" i="3"/>
  <c r="E13" i="3"/>
  <c r="E15" i="3"/>
  <c r="E10" i="3"/>
  <c r="E12" i="3"/>
  <c r="E16" i="3"/>
  <c r="E19" i="3"/>
  <c r="E4" i="3"/>
  <c r="E9" i="3"/>
  <c r="K3" i="3"/>
  <c r="G3" i="3" s="1"/>
  <c r="H3" i="3" s="1"/>
  <c r="A9" i="3"/>
  <c r="K10" i="3"/>
  <c r="G10" i="3" s="1"/>
  <c r="H10" i="3" s="1"/>
  <c r="A13" i="3"/>
  <c r="K14" i="3"/>
  <c r="G14" i="3" s="1"/>
  <c r="H14" i="3" s="1"/>
  <c r="A17" i="3"/>
  <c r="K18" i="3"/>
  <c r="G18" i="3" s="1"/>
  <c r="H18" i="3" s="1"/>
  <c r="H60" i="3"/>
  <c r="A3" i="3"/>
  <c r="A6" i="3"/>
  <c r="A10" i="3"/>
  <c r="A14" i="3"/>
  <c r="A62" i="3"/>
  <c r="A59" i="3"/>
  <c r="A54" i="3"/>
  <c r="A45" i="3"/>
  <c r="A41" i="3"/>
  <c r="A37" i="3"/>
  <c r="A33" i="3"/>
  <c r="A26" i="3"/>
  <c r="A61" i="3"/>
  <c r="A58" i="3"/>
  <c r="A57" i="3"/>
  <c r="A56" i="3"/>
  <c r="A55" i="3"/>
  <c r="A52" i="3"/>
  <c r="A51" i="3"/>
  <c r="A50" i="3"/>
  <c r="A49" i="3"/>
  <c r="A48" i="3"/>
  <c r="A46" i="3"/>
  <c r="A42" i="3"/>
  <c r="A38" i="3"/>
  <c r="A34" i="3"/>
  <c r="A27" i="3"/>
  <c r="A60" i="3"/>
  <c r="A47" i="3"/>
  <c r="A43" i="3"/>
  <c r="A39" i="3"/>
  <c r="A35" i="3"/>
  <c r="A31" i="3"/>
  <c r="A30" i="3"/>
  <c r="A29" i="3"/>
  <c r="A28" i="3"/>
  <c r="A25" i="3"/>
  <c r="A24" i="3"/>
  <c r="A23" i="3"/>
  <c r="A22" i="3"/>
  <c r="A21" i="3"/>
  <c r="A19" i="3"/>
  <c r="A15" i="3"/>
  <c r="A11" i="3"/>
  <c r="A64" i="3"/>
  <c r="A63" i="3"/>
  <c r="A53" i="3"/>
  <c r="A44" i="3"/>
  <c r="A40" i="3"/>
  <c r="A36" i="3"/>
  <c r="A32" i="3"/>
  <c r="A20" i="3"/>
  <c r="A16" i="3"/>
  <c r="A12" i="3"/>
  <c r="A8" i="3"/>
  <c r="A4" i="3"/>
  <c r="E3" i="3"/>
  <c r="A5" i="3"/>
  <c r="A7" i="3"/>
  <c r="K20" i="3" l="1"/>
  <c r="G20" i="3" s="1"/>
  <c r="K47" i="3"/>
  <c r="G47" i="3" s="1"/>
  <c r="K63" i="3"/>
  <c r="H63" i="3" s="1"/>
  <c r="K64" i="3" s="1"/>
  <c r="H64" i="3" s="1"/>
  <c r="E20" i="3"/>
  <c r="E47" i="3"/>
  <c r="O26" i="3"/>
  <c r="O53" i="3"/>
  <c r="G57" i="3" l="1"/>
  <c r="O54" i="3"/>
  <c r="O50" i="3"/>
  <c r="F50" i="3" s="1"/>
  <c r="M53" i="3"/>
  <c r="K53" i="3" s="1"/>
  <c r="H53" i="3" s="1"/>
  <c r="O27" i="3"/>
  <c r="O23" i="3"/>
  <c r="F23" i="3" s="1"/>
  <c r="M26" i="3"/>
  <c r="K26" i="3" s="1"/>
  <c r="H26" i="3" s="1"/>
  <c r="H23" i="3" l="1"/>
  <c r="O51" i="3"/>
  <c r="M54" i="3"/>
  <c r="K54" i="3" s="1"/>
  <c r="H54" i="3" s="1"/>
  <c r="O24" i="3"/>
  <c r="M27" i="3"/>
  <c r="K27" i="3" s="1"/>
  <c r="H27" i="3" s="1"/>
  <c r="H50" i="3"/>
  <c r="F51" i="3" l="1"/>
  <c r="O48" i="3"/>
  <c r="F24" i="3"/>
  <c r="O21" i="3"/>
  <c r="H51" i="3" l="1"/>
  <c r="F47" i="3"/>
  <c r="H47" i="3" s="1"/>
  <c r="H24" i="3"/>
  <c r="F20" i="3"/>
  <c r="H20" i="3" s="1"/>
  <c r="I25" i="3" l="1"/>
  <c r="K28" i="3" s="1"/>
  <c r="H28" i="3" s="1"/>
  <c r="K29" i="3" s="1"/>
  <c r="H29" i="3" s="1"/>
  <c r="I52" i="3"/>
  <c r="K55" i="3" s="1"/>
  <c r="H55" i="3" s="1"/>
  <c r="K56" i="3" s="1"/>
  <c r="H56" i="3" s="1"/>
  <c r="G2" i="3" l="1"/>
  <c r="G30" i="3"/>
  <c r="L45" i="6" l="1"/>
  <c r="K45" i="6" s="1"/>
  <c r="L46" i="6"/>
  <c r="K46" i="6" s="1"/>
  <c r="L44" i="6"/>
  <c r="K44" i="6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9" i="6"/>
  <c r="L4" i="6"/>
  <c r="L5" i="6"/>
  <c r="L3" i="6"/>
  <c r="L22" i="32"/>
  <c r="L4" i="32"/>
  <c r="L10" i="32"/>
  <c r="L16" i="32"/>
  <c r="L3" i="26"/>
  <c r="L4" i="9"/>
  <c r="L5" i="9"/>
  <c r="L7" i="9"/>
  <c r="L9" i="9"/>
  <c r="L10" i="9"/>
  <c r="L11" i="9"/>
  <c r="L13" i="9"/>
  <c r="L14" i="9"/>
  <c r="L15" i="9"/>
  <c r="L16" i="9"/>
  <c r="L17" i="9"/>
  <c r="L18" i="9"/>
  <c r="L19" i="9"/>
  <c r="L21" i="9"/>
  <c r="L22" i="9"/>
  <c r="L23" i="9"/>
  <c r="L3" i="9"/>
  <c r="L26" i="9"/>
  <c r="K26" i="9" s="1"/>
  <c r="L27" i="9"/>
  <c r="K27" i="9" s="1"/>
  <c r="L25" i="9"/>
  <c r="K25" i="9" s="1"/>
  <c r="M22" i="32" l="1"/>
  <c r="G22" i="32" s="1"/>
  <c r="D22" i="32"/>
  <c r="B22" i="32"/>
  <c r="M16" i="32"/>
  <c r="G16" i="32" s="1"/>
  <c r="D16" i="32"/>
  <c r="B16" i="32"/>
  <c r="M10" i="32"/>
  <c r="G10" i="32" s="1"/>
  <c r="D10" i="32"/>
  <c r="B10" i="32"/>
  <c r="M4" i="32"/>
  <c r="G4" i="32" s="1"/>
  <c r="D4" i="32"/>
  <c r="B4" i="32"/>
  <c r="L25" i="32"/>
  <c r="L24" i="32"/>
  <c r="J22" i="32"/>
  <c r="K21" i="32"/>
  <c r="J21" i="32"/>
  <c r="E21" i="32"/>
  <c r="C20" i="32"/>
  <c r="B20" i="32"/>
  <c r="L19" i="32"/>
  <c r="L18" i="32"/>
  <c r="J16" i="32"/>
  <c r="K15" i="32"/>
  <c r="J15" i="32"/>
  <c r="E15" i="32"/>
  <c r="C14" i="32"/>
  <c r="B14" i="32"/>
  <c r="L13" i="32"/>
  <c r="L12" i="32"/>
  <c r="J10" i="32"/>
  <c r="K9" i="32"/>
  <c r="J9" i="32"/>
  <c r="E9" i="32"/>
  <c r="C8" i="32"/>
  <c r="B8" i="32"/>
  <c r="L7" i="32"/>
  <c r="L6" i="32"/>
  <c r="J4" i="32"/>
  <c r="K3" i="32"/>
  <c r="J3" i="32"/>
  <c r="A22" i="32" s="1"/>
  <c r="E3" i="32"/>
  <c r="A3" i="32"/>
  <c r="C2" i="32"/>
  <c r="B2" i="32"/>
  <c r="A2" i="32"/>
  <c r="G9" i="32" l="1"/>
  <c r="H9" i="32" s="1"/>
  <c r="G15" i="32"/>
  <c r="H15" i="32" s="1"/>
  <c r="G21" i="32"/>
  <c r="H21" i="32" s="1"/>
  <c r="A6" i="32"/>
  <c r="A7" i="32"/>
  <c r="A8" i="32"/>
  <c r="A9" i="32"/>
  <c r="H16" i="32"/>
  <c r="I17" i="32" s="1"/>
  <c r="K18" i="32" s="1"/>
  <c r="H18" i="32" s="1"/>
  <c r="K19" i="32" s="1"/>
  <c r="H19" i="32" s="1"/>
  <c r="H22" i="32"/>
  <c r="I23" i="32" s="1"/>
  <c r="K24" i="32" s="1"/>
  <c r="H24" i="32" s="1"/>
  <c r="A25" i="32"/>
  <c r="H4" i="32"/>
  <c r="A13" i="32"/>
  <c r="A15" i="32"/>
  <c r="A18" i="32"/>
  <c r="A19" i="32"/>
  <c r="A20" i="32"/>
  <c r="A21" i="32"/>
  <c r="A24" i="32"/>
  <c r="G3" i="32"/>
  <c r="H3" i="32" s="1"/>
  <c r="E4" i="32"/>
  <c r="K4" i="32"/>
  <c r="A5" i="32"/>
  <c r="E10" i="32"/>
  <c r="K10" i="32"/>
  <c r="A11" i="32"/>
  <c r="E16" i="32"/>
  <c r="K16" i="32"/>
  <c r="A17" i="32"/>
  <c r="E22" i="32"/>
  <c r="K22" i="32"/>
  <c r="A23" i="32"/>
  <c r="H10" i="32"/>
  <c r="I11" i="32" s="1"/>
  <c r="K12" i="32" s="1"/>
  <c r="H12" i="32" s="1"/>
  <c r="K13" i="32" s="1"/>
  <c r="H13" i="32" s="1"/>
  <c r="A12" i="32"/>
  <c r="A14" i="32"/>
  <c r="A4" i="32"/>
  <c r="A10" i="32"/>
  <c r="A16" i="32"/>
  <c r="K25" i="32" l="1"/>
  <c r="H25" i="32" s="1"/>
  <c r="G20" i="32" s="1"/>
  <c r="G14" i="32"/>
  <c r="I5" i="32"/>
  <c r="K6" i="32" s="1"/>
  <c r="H6" i="32" s="1"/>
  <c r="K7" i="32" s="1"/>
  <c r="H7" i="32" s="1"/>
  <c r="G8" i="32"/>
  <c r="G2" i="32" l="1"/>
  <c r="M3" i="9" l="1"/>
  <c r="D3" i="9"/>
  <c r="B3" i="9"/>
  <c r="M42" i="6" l="1"/>
  <c r="D42" i="6"/>
  <c r="B42" i="6"/>
  <c r="M41" i="6"/>
  <c r="D41" i="6"/>
  <c r="B41" i="6"/>
  <c r="M40" i="6"/>
  <c r="D40" i="6"/>
  <c r="B40" i="6"/>
  <c r="M39" i="6"/>
  <c r="D39" i="6"/>
  <c r="B39" i="6"/>
  <c r="M38" i="6"/>
  <c r="D38" i="6"/>
  <c r="B38" i="6"/>
  <c r="M37" i="6"/>
  <c r="D37" i="6"/>
  <c r="B37" i="6"/>
  <c r="M36" i="6"/>
  <c r="D36" i="6"/>
  <c r="B36" i="6"/>
  <c r="M35" i="6"/>
  <c r="D35" i="6"/>
  <c r="B35" i="6"/>
  <c r="M34" i="6"/>
  <c r="D34" i="6"/>
  <c r="B34" i="6"/>
  <c r="M33" i="6"/>
  <c r="D33" i="6"/>
  <c r="B33" i="6"/>
  <c r="M32" i="6"/>
  <c r="D32" i="6"/>
  <c r="B32" i="6"/>
  <c r="M31" i="6"/>
  <c r="D31" i="6"/>
  <c r="B31" i="6"/>
  <c r="M30" i="6"/>
  <c r="D30" i="6"/>
  <c r="B30" i="6"/>
  <c r="M29" i="6"/>
  <c r="D29" i="6"/>
  <c r="B29" i="6"/>
  <c r="M28" i="6"/>
  <c r="D28" i="6"/>
  <c r="B28" i="6"/>
  <c r="M27" i="6"/>
  <c r="D27" i="6"/>
  <c r="B27" i="6"/>
  <c r="M26" i="6"/>
  <c r="D26" i="6"/>
  <c r="B26" i="6"/>
  <c r="M25" i="6"/>
  <c r="D25" i="6"/>
  <c r="B25" i="6"/>
  <c r="M24" i="6"/>
  <c r="D24" i="6"/>
  <c r="B24" i="6"/>
  <c r="M23" i="6"/>
  <c r="D23" i="6"/>
  <c r="B23" i="6"/>
  <c r="M22" i="6"/>
  <c r="D22" i="6"/>
  <c r="B22" i="6"/>
  <c r="M21" i="6"/>
  <c r="D21" i="6"/>
  <c r="B21" i="6"/>
  <c r="M20" i="6"/>
  <c r="D20" i="6"/>
  <c r="B20" i="6"/>
  <c r="M19" i="6"/>
  <c r="D19" i="6"/>
  <c r="B19" i="6"/>
  <c r="M18" i="6"/>
  <c r="D18" i="6"/>
  <c r="B18" i="6"/>
  <c r="M17" i="6"/>
  <c r="D17" i="6"/>
  <c r="B17" i="6"/>
  <c r="M16" i="6"/>
  <c r="D16" i="6"/>
  <c r="B16" i="6"/>
  <c r="M15" i="6"/>
  <c r="D15" i="6"/>
  <c r="B15" i="6"/>
  <c r="M14" i="6"/>
  <c r="D14" i="6"/>
  <c r="B14" i="6"/>
  <c r="M13" i="6"/>
  <c r="D13" i="6"/>
  <c r="B13" i="6"/>
  <c r="M12" i="6"/>
  <c r="D12" i="6"/>
  <c r="B12" i="6"/>
  <c r="M11" i="6"/>
  <c r="D11" i="6"/>
  <c r="B11" i="6"/>
  <c r="M10" i="6"/>
  <c r="D10" i="6"/>
  <c r="B10" i="6"/>
  <c r="M9" i="6"/>
  <c r="D9" i="6"/>
  <c r="B9" i="6"/>
  <c r="M5" i="6"/>
  <c r="B5" i="6"/>
  <c r="M3" i="6"/>
  <c r="D3" i="6"/>
  <c r="B3" i="6"/>
  <c r="M23" i="9"/>
  <c r="D23" i="9"/>
  <c r="B23" i="9"/>
  <c r="M22" i="9"/>
  <c r="D22" i="9"/>
  <c r="B22" i="9"/>
  <c r="M21" i="9"/>
  <c r="D21" i="9"/>
  <c r="B21" i="9"/>
  <c r="M19" i="9"/>
  <c r="D19" i="9"/>
  <c r="B19" i="9"/>
  <c r="M18" i="9"/>
  <c r="D18" i="9"/>
  <c r="B18" i="9"/>
  <c r="M17" i="9"/>
  <c r="D17" i="9"/>
  <c r="B17" i="9"/>
  <c r="M16" i="9"/>
  <c r="D16" i="9"/>
  <c r="B16" i="9"/>
  <c r="M15" i="9"/>
  <c r="D15" i="9"/>
  <c r="B15" i="9"/>
  <c r="M14" i="9"/>
  <c r="D14" i="9"/>
  <c r="B14" i="9"/>
  <c r="M13" i="9"/>
  <c r="D13" i="9"/>
  <c r="B13" i="9"/>
  <c r="M11" i="9"/>
  <c r="D11" i="9"/>
  <c r="B11" i="9"/>
  <c r="J8" i="12" l="1"/>
  <c r="I8" i="12"/>
  <c r="F20" i="9"/>
  <c r="C20" i="9"/>
  <c r="L20" i="9" s="1"/>
  <c r="M20" i="9" l="1"/>
  <c r="D20" i="9"/>
  <c r="B20" i="9"/>
  <c r="J20" i="9"/>
  <c r="J19" i="9"/>
  <c r="J18" i="9"/>
  <c r="J17" i="9"/>
  <c r="J16" i="9"/>
  <c r="J15" i="9"/>
  <c r="J14" i="9"/>
  <c r="J13" i="9"/>
  <c r="K8" i="9"/>
  <c r="J8" i="9"/>
  <c r="E8" i="9"/>
  <c r="K17" i="9" l="1"/>
  <c r="G17" i="9" s="1"/>
  <c r="H17" i="9" s="1"/>
  <c r="E19" i="9"/>
  <c r="E16" i="9"/>
  <c r="E18" i="9"/>
  <c r="E14" i="9"/>
  <c r="E15" i="9"/>
  <c r="G8" i="9"/>
  <c r="H8" i="9" s="1"/>
  <c r="K15" i="9"/>
  <c r="G15" i="9" s="1"/>
  <c r="H15" i="9" s="1"/>
  <c r="K18" i="9"/>
  <c r="G18" i="9" s="1"/>
  <c r="H18" i="9" s="1"/>
  <c r="K14" i="9"/>
  <c r="G14" i="9" s="1"/>
  <c r="H14" i="9" s="1"/>
  <c r="K16" i="9"/>
  <c r="G16" i="9" s="1"/>
  <c r="H16" i="9" s="1"/>
  <c r="K19" i="9"/>
  <c r="G19" i="9" s="1"/>
  <c r="H19" i="9" s="1"/>
  <c r="K13" i="9"/>
  <c r="G13" i="9" s="1"/>
  <c r="H13" i="9" s="1"/>
  <c r="E13" i="9"/>
  <c r="E17" i="9"/>
  <c r="E20" i="9" l="1"/>
  <c r="K20" i="9"/>
  <c r="G20" i="9" s="1"/>
  <c r="H20" i="9" s="1"/>
  <c r="B3" i="26" l="1"/>
  <c r="N538" i="7"/>
  <c r="N630" i="7"/>
  <c r="N665" i="7"/>
  <c r="N33" i="7"/>
  <c r="N90" i="7"/>
  <c r="N202" i="7"/>
  <c r="N434" i="7"/>
  <c r="N332" i="7"/>
  <c r="N859" i="7"/>
  <c r="N789" i="7"/>
  <c r="N749" i="7"/>
  <c r="N860" i="7"/>
  <c r="N871" i="7"/>
  <c r="N340" i="7"/>
  <c r="N70" i="7"/>
  <c r="N707" i="7"/>
  <c r="N600" i="7"/>
  <c r="N60" i="7"/>
  <c r="N19" i="2"/>
  <c r="N346" i="7"/>
  <c r="N4" i="7"/>
  <c r="N170" i="7"/>
  <c r="N639" i="7"/>
  <c r="N61" i="7"/>
  <c r="N726" i="7"/>
  <c r="N30" i="7"/>
  <c r="N623" i="7"/>
  <c r="N412" i="7"/>
  <c r="N77" i="7"/>
  <c r="N879" i="7"/>
  <c r="N676" i="7"/>
  <c r="N599" i="7"/>
  <c r="N791" i="7"/>
  <c r="N842" i="7"/>
  <c r="N615" i="7"/>
  <c r="N3" i="4"/>
  <c r="N651" i="7"/>
  <c r="N190" i="7"/>
  <c r="N887" i="7"/>
  <c r="N254" i="7"/>
  <c r="N617" i="7"/>
  <c r="J170" i="13"/>
  <c r="N10" i="2"/>
  <c r="N431" i="7"/>
  <c r="N76" i="7"/>
  <c r="N189" i="7"/>
  <c r="N94" i="7"/>
  <c r="N858" i="7"/>
  <c r="N131" i="7"/>
  <c r="N298" i="7"/>
  <c r="N767" i="7"/>
  <c r="N709" i="7"/>
  <c r="N577" i="7"/>
  <c r="N212" i="7"/>
  <c r="N854" i="7"/>
  <c r="N500" i="7"/>
  <c r="N543" i="7"/>
  <c r="N116" i="7"/>
  <c r="N681" i="7"/>
  <c r="N21" i="2"/>
  <c r="N107" i="7"/>
  <c r="N476" i="7"/>
  <c r="N52" i="7"/>
  <c r="N499" i="7"/>
  <c r="N474" i="7"/>
  <c r="N231" i="7"/>
  <c r="N567" i="7"/>
  <c r="N305" i="7"/>
  <c r="N318" i="7"/>
  <c r="N485" i="7"/>
  <c r="N54" i="2"/>
  <c r="N574" i="7"/>
  <c r="N861" i="7"/>
  <c r="N121" i="7"/>
  <c r="N475" i="7"/>
  <c r="N272" i="7"/>
  <c r="N51" i="7"/>
  <c r="N34" i="2"/>
  <c r="N688" i="7"/>
  <c r="N409" i="7"/>
  <c r="N414" i="7"/>
  <c r="N28" i="7"/>
  <c r="N589" i="7"/>
  <c r="N125" i="7"/>
  <c r="N11" i="4"/>
  <c r="N45" i="2"/>
  <c r="N799" i="7"/>
  <c r="N9" i="7"/>
  <c r="N8" i="4"/>
  <c r="N744" i="7"/>
  <c r="N260" i="7"/>
  <c r="N761" i="7"/>
  <c r="N527" i="7"/>
  <c r="N578" i="7"/>
  <c r="N590" i="7"/>
  <c r="N17" i="4"/>
  <c r="N417" i="7"/>
  <c r="N14" i="4"/>
  <c r="N505" i="7"/>
  <c r="N677" i="7"/>
  <c r="N167" i="7"/>
  <c r="N701" i="7"/>
  <c r="N428" i="7"/>
  <c r="N376" i="7"/>
  <c r="N278" i="7"/>
  <c r="N37" i="2"/>
  <c r="N863" i="7"/>
  <c r="N209" i="7"/>
  <c r="N819" i="7"/>
  <c r="N365" i="7"/>
  <c r="N283" i="7"/>
  <c r="N315" i="7"/>
  <c r="N458" i="7"/>
  <c r="N236" i="7"/>
  <c r="N12" i="4"/>
  <c r="N285" i="7"/>
  <c r="N769" i="7"/>
  <c r="N794" i="7"/>
  <c r="N765" i="7"/>
  <c r="N465" i="7"/>
  <c r="N656" i="7"/>
  <c r="N592" i="7"/>
  <c r="N277" i="7"/>
  <c r="N390" i="7"/>
  <c r="N69" i="7"/>
  <c r="N17" i="7"/>
  <c r="N487" i="7"/>
  <c r="N725" i="7"/>
  <c r="N746" i="7"/>
  <c r="N478" i="7"/>
  <c r="N816" i="7"/>
  <c r="N843" i="7"/>
  <c r="N870" i="7"/>
  <c r="N92" i="7"/>
  <c r="N829" i="7"/>
  <c r="N787" i="7"/>
  <c r="N118" i="7"/>
  <c r="N3" i="2"/>
  <c r="N759" i="7"/>
  <c r="N408" i="7"/>
  <c r="N776" i="7"/>
  <c r="N342" i="7"/>
  <c r="N519" i="7"/>
  <c r="N8" i="7"/>
  <c r="N172" i="7"/>
  <c r="N126" i="7"/>
  <c r="N426" i="7"/>
  <c r="N872" i="7"/>
  <c r="N120" i="7"/>
  <c r="N734" i="7"/>
  <c r="N19" i="7"/>
  <c r="N201" i="7"/>
  <c r="N364" i="7"/>
  <c r="N331" i="7"/>
  <c r="N10" i="7"/>
  <c r="N698" i="7"/>
  <c r="N393" i="7"/>
  <c r="N802" i="7"/>
  <c r="N453" i="7"/>
  <c r="N15" i="2"/>
  <c r="N539" i="7"/>
  <c r="N569" i="7"/>
  <c r="N383" i="7"/>
  <c r="N5" i="7"/>
  <c r="N287" i="7"/>
  <c r="N14" i="7"/>
  <c r="N5" i="4"/>
  <c r="N352" i="7"/>
  <c r="N220" i="7"/>
  <c r="N391" i="7"/>
  <c r="N29" i="7"/>
  <c r="N795" i="7"/>
  <c r="N685" i="7"/>
  <c r="N613" i="7"/>
  <c r="N691" i="7"/>
  <c r="N281" i="7"/>
  <c r="N351" i="7"/>
  <c r="N675" i="7"/>
  <c r="N203" i="7"/>
  <c r="N304" i="7"/>
  <c r="N316" i="7"/>
  <c r="N6" i="4"/>
  <c r="N742" i="7"/>
  <c r="N185" i="7"/>
  <c r="N835" i="7"/>
  <c r="N525" i="7"/>
  <c r="N430" i="7"/>
  <c r="N323" i="7"/>
  <c r="N122" i="7"/>
  <c r="N708" i="7"/>
  <c r="N174" i="7"/>
  <c r="N32" i="2"/>
  <c r="N17" i="2"/>
  <c r="N75" i="7"/>
  <c r="N19" i="4"/>
  <c r="N370" i="7"/>
  <c r="N9" i="4"/>
  <c r="N751" i="7"/>
  <c r="N151" i="7"/>
  <c r="N59" i="7"/>
  <c r="N265" i="7"/>
  <c r="N26" i="7"/>
  <c r="N790" i="7"/>
  <c r="N79" i="7"/>
  <c r="N731" i="7"/>
  <c r="N597" i="7"/>
  <c r="N856" i="7"/>
  <c r="N50" i="2"/>
  <c r="N123" i="7"/>
  <c r="N666" i="7"/>
  <c r="N649" i="7"/>
  <c r="N148" i="7"/>
  <c r="N127" i="7"/>
  <c r="N855" i="7"/>
  <c r="N7" i="4"/>
  <c r="N395" i="7"/>
  <c r="N53" i="7"/>
  <c r="N237" i="7"/>
  <c r="N542" i="7"/>
  <c r="N356" i="7"/>
  <c r="N238" i="7"/>
  <c r="N728" i="7"/>
  <c r="N540" i="7"/>
  <c r="N637" i="7"/>
  <c r="N193" i="7"/>
  <c r="N38" i="2"/>
  <c r="N394" i="7"/>
  <c r="N636" i="7"/>
  <c r="N62" i="7"/>
  <c r="N410" i="7"/>
  <c r="N18" i="2"/>
  <c r="N745" i="7"/>
  <c r="N119" i="7"/>
  <c r="N173" i="7"/>
  <c r="N724" i="7"/>
  <c r="N72" i="7"/>
  <c r="N146" i="7"/>
  <c r="N598" i="7"/>
  <c r="N206" i="7"/>
  <c r="N486" i="7"/>
  <c r="N4" i="2"/>
  <c r="N454" i="7"/>
  <c r="N252" i="7"/>
  <c r="N10" i="4"/>
  <c r="N837" i="7"/>
  <c r="N723" i="7"/>
  <c r="N424" i="7"/>
  <c r="N545" i="7"/>
  <c r="N821" i="7"/>
  <c r="N242" i="7"/>
  <c r="N98" i="7"/>
  <c r="N80" i="7"/>
  <c r="N840" i="7"/>
  <c r="N12" i="2"/>
  <c r="N208" i="7"/>
  <c r="N462" i="7"/>
  <c r="N87" i="7"/>
  <c r="N296" i="7"/>
  <c r="N607" i="7"/>
  <c r="N880" i="7"/>
  <c r="N264" i="7"/>
  <c r="N317" i="7"/>
  <c r="N853" i="7"/>
  <c r="N232" i="7"/>
  <c r="N300" i="7"/>
  <c r="N8" i="2"/>
  <c r="N579" i="7"/>
  <c r="N295" i="7"/>
  <c r="N91" i="7"/>
  <c r="N397" i="7"/>
  <c r="N71" i="7"/>
  <c r="N20" i="2"/>
  <c r="N792" i="7"/>
  <c r="N16" i="2"/>
  <c r="N51" i="2"/>
  <c r="N704" i="7"/>
  <c r="N27" i="7"/>
  <c r="N741" i="7"/>
  <c r="N55" i="7"/>
  <c r="N535" i="7"/>
  <c r="N680" i="7"/>
  <c r="N321" i="7"/>
  <c r="N375" i="7"/>
  <c r="N504" i="7"/>
  <c r="N546" i="7"/>
  <c r="N11" i="2"/>
  <c r="N350" i="7"/>
  <c r="N261" i="7"/>
  <c r="N797" i="7"/>
  <c r="N313" i="7"/>
  <c r="N433" i="7"/>
  <c r="N480" i="7"/>
  <c r="N614" i="7"/>
  <c r="N282" i="7"/>
  <c r="N7" i="2"/>
  <c r="N537" i="7"/>
  <c r="N878" i="7"/>
  <c r="N44" i="2"/>
  <c r="N141" i="7"/>
  <c r="N262" i="7"/>
  <c r="N748" i="7"/>
  <c r="N710" i="7"/>
  <c r="N443" i="7"/>
  <c r="N638" i="7"/>
  <c r="N13" i="4"/>
  <c r="N96" i="7"/>
  <c r="N299" i="7"/>
  <c r="N240" i="7"/>
  <c r="N889" i="7"/>
  <c r="N460" i="7"/>
  <c r="N258" i="7"/>
  <c r="N279" i="7"/>
  <c r="N690" i="7"/>
  <c r="N841" i="7"/>
  <c r="N732" i="7"/>
  <c r="N349" i="7"/>
  <c r="N502" i="7"/>
  <c r="N441" i="7"/>
  <c r="N142" i="7"/>
  <c r="N52" i="2"/>
  <c r="N36" i="7"/>
  <c r="N234" i="7"/>
  <c r="N877" i="7"/>
  <c r="N838" i="7"/>
  <c r="N183" i="7"/>
  <c r="N301" i="7"/>
  <c r="J67" i="13"/>
  <c r="N97" i="7"/>
  <c r="N124" i="7"/>
  <c r="N658" i="7"/>
  <c r="N78" i="7"/>
  <c r="N652" i="7"/>
  <c r="N344" i="7"/>
  <c r="N413" i="7"/>
  <c r="N523" i="7"/>
  <c r="N117" i="7"/>
  <c r="N862" i="7"/>
  <c r="N41" i="2"/>
  <c r="N810" i="7"/>
  <c r="N798" i="7"/>
  <c r="N15" i="7"/>
  <c r="N874" i="7"/>
  <c r="N845" i="7"/>
  <c r="N355" i="7"/>
  <c r="N205" i="7"/>
  <c r="N259" i="7"/>
  <c r="N263" i="7"/>
  <c r="N37" i="7"/>
  <c r="N33" i="2"/>
  <c r="N547" i="7"/>
  <c r="N371" i="7"/>
  <c r="N766" i="7"/>
  <c r="N432" i="7"/>
  <c r="N354" i="7"/>
  <c r="N452" i="7"/>
  <c r="N640" i="7"/>
  <c r="N392" i="7"/>
  <c r="N388" i="7"/>
  <c r="N147" i="7"/>
  <c r="N229" i="7"/>
  <c r="N595" i="7"/>
  <c r="N541" i="7"/>
  <c r="N372" i="7"/>
  <c r="N95" i="7"/>
  <c r="N518" i="7"/>
  <c r="N818" i="7"/>
  <c r="N23" i="2"/>
  <c r="N245" i="7"/>
  <c r="N145" i="7"/>
  <c r="N686" i="7"/>
  <c r="N32" i="7"/>
  <c r="N46" i="2"/>
  <c r="N253" i="7"/>
  <c r="N526" i="7"/>
  <c r="N330" i="7"/>
  <c r="N130" i="7"/>
  <c r="N140" i="7"/>
  <c r="N35" i="2"/>
  <c r="N284" i="7"/>
  <c r="N813" i="7"/>
  <c r="N631" i="7"/>
  <c r="N302" i="7"/>
  <c r="N106" i="7"/>
  <c r="N876" i="7"/>
  <c r="N565" i="7"/>
  <c r="N39" i="2"/>
  <c r="N407" i="7"/>
  <c r="N682" i="7"/>
  <c r="N482" i="7"/>
  <c r="N456" i="7"/>
  <c r="N406" i="7"/>
  <c r="N345" i="7"/>
  <c r="N700" i="7"/>
  <c r="N108" i="7"/>
  <c r="N461" i="7"/>
  <c r="N132" i="7"/>
  <c r="N280" i="7"/>
  <c r="N573" i="7"/>
  <c r="N684" i="7"/>
  <c r="N319" i="7"/>
  <c r="J23" i="13"/>
  <c r="N171" i="7"/>
  <c r="N635" i="7"/>
  <c r="N705" i="7"/>
  <c r="N73" i="7"/>
  <c r="N612" i="7"/>
  <c r="N467" i="7"/>
  <c r="N591" i="7"/>
  <c r="N166" i="7"/>
  <c r="N699" i="7"/>
  <c r="N536" i="7"/>
  <c r="N230" i="7"/>
  <c r="N481" i="7"/>
  <c r="N297" i="7"/>
  <c r="N777" i="7"/>
  <c r="N576" i="7"/>
  <c r="N544" i="7"/>
  <c r="N374" i="7"/>
  <c r="N184" i="7"/>
  <c r="N416" i="7"/>
  <c r="N822" i="7"/>
  <c r="N16" i="7"/>
  <c r="N143" i="7"/>
  <c r="N743" i="7"/>
  <c r="N200" i="7"/>
  <c r="N494" i="7"/>
  <c r="N733" i="7"/>
  <c r="N415" i="7"/>
  <c r="N31" i="7"/>
  <c r="N517" i="7"/>
  <c r="N520" i="7"/>
  <c r="N257" i="7"/>
  <c r="N42" i="2"/>
  <c r="N18" i="4"/>
  <c r="N55" i="2"/>
  <c r="N341" i="7"/>
  <c r="N817" i="7"/>
  <c r="N554" i="7"/>
  <c r="N54" i="7"/>
  <c r="N683" i="7"/>
  <c r="N57" i="7"/>
  <c r="N750" i="7"/>
  <c r="N678" i="7"/>
  <c r="N159" i="7"/>
  <c r="J16" i="13"/>
  <c r="N442" i="7"/>
  <c r="N175" i="7"/>
  <c r="N4" i="4"/>
  <c r="N760" i="7"/>
  <c r="N463" i="7"/>
  <c r="N186" i="7"/>
  <c r="N322" i="7"/>
  <c r="N752" i="7"/>
  <c r="N11" i="7"/>
  <c r="N210" i="7"/>
  <c r="N219" i="7"/>
  <c r="N730" i="7"/>
  <c r="N233" i="7"/>
  <c r="N38" i="7"/>
  <c r="N524" i="7"/>
  <c r="N303" i="7"/>
  <c r="N6" i="2"/>
  <c r="N778" i="7"/>
  <c r="N763" i="7"/>
  <c r="N566" i="7"/>
  <c r="N641" i="7"/>
  <c r="N239" i="7"/>
  <c r="N650" i="7"/>
  <c r="N687" i="7"/>
  <c r="N343" i="7"/>
  <c r="N622" i="7"/>
  <c r="N36" i="2"/>
  <c r="N811" i="7"/>
  <c r="N128" i="7"/>
  <c r="N188" i="7"/>
  <c r="N521" i="7"/>
  <c r="N314" i="7"/>
  <c r="N12" i="7"/>
  <c r="N139" i="7"/>
  <c r="N286" i="7"/>
  <c r="N53" i="2"/>
  <c r="N587" i="7"/>
  <c r="N425" i="7"/>
  <c r="N399" i="7"/>
  <c r="N204" i="7"/>
  <c r="N801" i="7"/>
  <c r="N556" i="7"/>
  <c r="N366" i="7"/>
  <c r="N144" i="7"/>
  <c r="N288" i="7"/>
  <c r="N207" i="7"/>
  <c r="N398" i="7"/>
  <c r="N182" i="7"/>
  <c r="N679" i="7"/>
  <c r="N320" i="7"/>
  <c r="N718" i="7"/>
  <c r="N570" i="7"/>
  <c r="N689" i="7"/>
  <c r="N857" i="7"/>
  <c r="N187" i="7"/>
  <c r="N800" i="7"/>
  <c r="N13" i="2"/>
  <c r="N429" i="7"/>
  <c r="N48" i="2"/>
  <c r="N243" i="7"/>
  <c r="N503" i="7"/>
  <c r="N509" i="7"/>
  <c r="N368" i="7"/>
  <c r="N411" i="7"/>
  <c r="N389" i="7"/>
  <c r="N796" i="7"/>
  <c r="N873" i="7"/>
  <c r="N484" i="7"/>
  <c r="N619" i="7"/>
  <c r="N483" i="7"/>
  <c r="N655" i="7"/>
  <c r="N747" i="7"/>
  <c r="J68" i="13"/>
  <c r="N40" i="2"/>
  <c r="N844" i="7"/>
  <c r="N571" i="7"/>
  <c r="N43" i="2"/>
  <c r="N256" i="7"/>
  <c r="N703" i="7"/>
  <c r="N16" i="4"/>
  <c r="N34" i="7"/>
  <c r="N616" i="7"/>
  <c r="N211" i="7"/>
  <c r="N13" i="7"/>
  <c r="N501" i="7"/>
  <c r="N255" i="7"/>
  <c r="N809" i="7"/>
  <c r="N727" i="7"/>
  <c r="N149" i="7"/>
  <c r="N353" i="7"/>
  <c r="N522" i="7"/>
  <c r="N506" i="7"/>
  <c r="N58" i="7"/>
  <c r="N169" i="7"/>
  <c r="N47" i="2"/>
  <c r="N564" i="7"/>
  <c r="N786" i="7"/>
  <c r="N620" i="7"/>
  <c r="N14" i="2"/>
  <c r="N459" i="7"/>
  <c r="N596" i="7"/>
  <c r="N815" i="7"/>
  <c r="N99" i="7"/>
  <c r="N764" i="7"/>
  <c r="N74" i="7"/>
  <c r="N653" i="7"/>
  <c r="N618" i="7"/>
  <c r="N49" i="2"/>
  <c r="N35" i="7"/>
  <c r="N793" i="7"/>
  <c r="N93" i="7"/>
  <c r="N555" i="7"/>
  <c r="J24" i="13"/>
  <c r="N706" i="7"/>
  <c r="N466" i="7"/>
  <c r="N593" i="7"/>
  <c r="N632" i="7"/>
  <c r="N221" i="7"/>
  <c r="N244" i="7"/>
  <c r="N634" i="7"/>
  <c r="N18" i="7"/>
  <c r="N633" i="7"/>
  <c r="N508" i="7"/>
  <c r="N6" i="7"/>
  <c r="N762" i="7"/>
  <c r="N24" i="2"/>
  <c r="N152" i="7"/>
  <c r="N464" i="7"/>
  <c r="N477" i="7"/>
  <c r="N235" i="7"/>
  <c r="N5" i="2"/>
  <c r="N814" i="7"/>
  <c r="N711" i="7"/>
  <c r="N7" i="7"/>
  <c r="N9" i="2"/>
  <c r="N451" i="7"/>
  <c r="N241" i="7"/>
  <c r="N306" i="7"/>
  <c r="N347" i="7"/>
  <c r="N369" i="7"/>
  <c r="N654" i="7"/>
  <c r="N852" i="7"/>
  <c r="N363" i="7"/>
  <c r="N89" i="7"/>
  <c r="N588" i="7"/>
  <c r="N888" i="7"/>
  <c r="J171" i="13"/>
  <c r="N875" i="7"/>
  <c r="N812" i="7"/>
  <c r="N15" i="4"/>
  <c r="N22" i="2"/>
  <c r="N479" i="7"/>
  <c r="N528" i="7"/>
  <c r="N836" i="7"/>
  <c r="N396" i="7"/>
  <c r="N657" i="7"/>
  <c r="N367" i="7"/>
  <c r="N427" i="7"/>
  <c r="N510" i="7"/>
  <c r="J9" i="13"/>
  <c r="N667" i="7"/>
  <c r="N192" i="7"/>
  <c r="N788" i="7"/>
  <c r="N46" i="7"/>
  <c r="N150" i="7"/>
  <c r="N165" i="7"/>
  <c r="N834" i="7"/>
  <c r="N702" i="7"/>
  <c r="N729" i="7"/>
  <c r="N839" i="7"/>
  <c r="N507" i="7"/>
  <c r="N768" i="7"/>
  <c r="N164" i="7"/>
  <c r="N820" i="7"/>
  <c r="N455" i="7"/>
  <c r="N3" i="7"/>
  <c r="N373" i="7"/>
  <c r="N621" i="7"/>
  <c r="N575" i="7"/>
  <c r="N88" i="7"/>
  <c r="N594" i="7"/>
  <c r="N39" i="7"/>
  <c r="N168" i="7"/>
  <c r="N191" i="7"/>
  <c r="N129" i="7"/>
  <c r="N648" i="7"/>
  <c r="N348" i="7"/>
  <c r="N568" i="7"/>
  <c r="N63" i="2"/>
  <c r="N580" i="7"/>
  <c r="N572" i="7"/>
  <c r="N457" i="7"/>
  <c r="N56" i="7"/>
  <c r="J17" i="13"/>
  <c r="J25" i="13"/>
  <c r="A9" i="13" l="1"/>
  <c r="B9" i="13"/>
  <c r="A68" i="13"/>
  <c r="B16" i="13"/>
  <c r="A67" i="13"/>
  <c r="J27" i="6"/>
  <c r="J26" i="13"/>
  <c r="J22" i="6" l="1"/>
  <c r="E22" i="6"/>
  <c r="J27" i="13"/>
  <c r="K22" i="6" l="1"/>
  <c r="G22" i="6" s="1"/>
  <c r="H22" i="6" s="1"/>
  <c r="J19" i="6"/>
  <c r="E19" i="6"/>
  <c r="J28" i="13"/>
  <c r="J29" i="13" s="1"/>
  <c r="J30" i="13" s="1"/>
  <c r="J31" i="13" s="1"/>
  <c r="J32" i="13" s="1"/>
  <c r="K19" i="6" l="1"/>
  <c r="G19" i="6" s="1"/>
  <c r="H19" i="6" s="1"/>
  <c r="J33" i="13"/>
  <c r="A33" i="13" l="1"/>
  <c r="H2" i="9"/>
  <c r="I2" i="9" s="1"/>
  <c r="K8" i="18"/>
  <c r="K291" i="17"/>
  <c r="K270" i="17"/>
  <c r="K249" i="17"/>
  <c r="K231" i="17"/>
  <c r="K176" i="17"/>
  <c r="K121" i="17"/>
  <c r="K66" i="17"/>
  <c r="K51" i="17"/>
  <c r="K36" i="17"/>
  <c r="K8" i="17"/>
  <c r="L48" i="6"/>
  <c r="L47" i="6"/>
  <c r="J46" i="6"/>
  <c r="H46" i="6" s="1"/>
  <c r="J45" i="6"/>
  <c r="H45" i="6" s="1"/>
  <c r="J44" i="6"/>
  <c r="H44" i="6" s="1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6" i="6"/>
  <c r="J25" i="6"/>
  <c r="J24" i="6"/>
  <c r="J23" i="6"/>
  <c r="E23" i="6"/>
  <c r="J21" i="6"/>
  <c r="J20" i="6"/>
  <c r="J18" i="6"/>
  <c r="J17" i="6"/>
  <c r="J16" i="6"/>
  <c r="J15" i="6"/>
  <c r="J14" i="6"/>
  <c r="J13" i="6"/>
  <c r="J12" i="6"/>
  <c r="E12" i="6"/>
  <c r="J11" i="6"/>
  <c r="J10" i="6"/>
  <c r="J9" i="6"/>
  <c r="E9" i="6"/>
  <c r="O5" i="6"/>
  <c r="H2" i="6" s="1"/>
  <c r="J5" i="6"/>
  <c r="A5" i="6" s="1"/>
  <c r="K5" i="6"/>
  <c r="J4" i="6"/>
  <c r="K4" i="6"/>
  <c r="Q3" i="6"/>
  <c r="K3" i="6"/>
  <c r="J3" i="6"/>
  <c r="L6" i="6" s="1"/>
  <c r="E3" i="6"/>
  <c r="L6" i="26"/>
  <c r="L5" i="26"/>
  <c r="K3" i="26"/>
  <c r="J3" i="26"/>
  <c r="A2" i="26"/>
  <c r="L29" i="9"/>
  <c r="L28" i="9"/>
  <c r="J27" i="9"/>
  <c r="H27" i="9" s="1"/>
  <c r="J26" i="9"/>
  <c r="H26" i="9" s="1"/>
  <c r="J25" i="9"/>
  <c r="H25" i="9" s="1"/>
  <c r="J23" i="9"/>
  <c r="J22" i="9"/>
  <c r="J21" i="9"/>
  <c r="K12" i="9"/>
  <c r="J12" i="9"/>
  <c r="K11" i="9"/>
  <c r="J11" i="9"/>
  <c r="K10" i="9"/>
  <c r="J10" i="9"/>
  <c r="K9" i="9"/>
  <c r="J9" i="9"/>
  <c r="K7" i="9"/>
  <c r="J7" i="9"/>
  <c r="K6" i="9"/>
  <c r="J6" i="9"/>
  <c r="K5" i="9"/>
  <c r="J5" i="9"/>
  <c r="K4" i="9"/>
  <c r="J4" i="9"/>
  <c r="Q3" i="9"/>
  <c r="K3" i="9"/>
  <c r="J3" i="9"/>
  <c r="A2" i="9"/>
  <c r="A2" i="6"/>
  <c r="A3" i="9"/>
  <c r="A3" i="6" l="1"/>
  <c r="A28" i="6"/>
  <c r="A31" i="6"/>
  <c r="G4" i="6"/>
  <c r="H4" i="6" s="1"/>
  <c r="K21" i="9"/>
  <c r="G21" i="9" s="1"/>
  <c r="H21" i="9" s="1"/>
  <c r="A47" i="6"/>
  <c r="A40" i="6"/>
  <c r="A12" i="9"/>
  <c r="A19" i="9"/>
  <c r="A18" i="9"/>
  <c r="A20" i="9"/>
  <c r="A13" i="9"/>
  <c r="A16" i="9"/>
  <c r="A14" i="9"/>
  <c r="A15" i="9"/>
  <c r="A17" i="9"/>
  <c r="A9" i="9"/>
  <c r="A7" i="9"/>
  <c r="A25" i="9"/>
  <c r="A8" i="9"/>
  <c r="G3" i="26"/>
  <c r="H3" i="26" s="1"/>
  <c r="I4" i="26" s="1"/>
  <c r="K5" i="26" s="1"/>
  <c r="H5" i="26" s="1"/>
  <c r="K6" i="26" s="1"/>
  <c r="H6" i="26" s="1"/>
  <c r="K41" i="6"/>
  <c r="G41" i="6" s="1"/>
  <c r="H41" i="6" s="1"/>
  <c r="A21" i="6"/>
  <c r="A13" i="6"/>
  <c r="A23" i="9"/>
  <c r="G6" i="9"/>
  <c r="H6" i="9" s="1"/>
  <c r="A43" i="6"/>
  <c r="A33" i="6"/>
  <c r="A28" i="9"/>
  <c r="A25" i="6"/>
  <c r="A37" i="6"/>
  <c r="A26" i="6"/>
  <c r="A26" i="9"/>
  <c r="A36" i="6"/>
  <c r="A4" i="26"/>
  <c r="K22" i="9"/>
  <c r="G22" i="9" s="1"/>
  <c r="H22" i="9" s="1"/>
  <c r="A45" i="6"/>
  <c r="A34" i="6"/>
  <c r="A41" i="6"/>
  <c r="K18" i="6"/>
  <c r="G18" i="6" s="1"/>
  <c r="H18" i="6" s="1"/>
  <c r="A23" i="6"/>
  <c r="A35" i="6"/>
  <c r="A21" i="9"/>
  <c r="A32" i="6"/>
  <c r="A42" i="6"/>
  <c r="G5" i="9"/>
  <c r="H5" i="9" s="1"/>
  <c r="G9" i="9"/>
  <c r="H9" i="9" s="1"/>
  <c r="G12" i="9"/>
  <c r="H12" i="9" s="1"/>
  <c r="G5" i="6"/>
  <c r="H5" i="6" s="1"/>
  <c r="A48" i="6"/>
  <c r="A27" i="6"/>
  <c r="A22" i="6"/>
  <c r="A19" i="6"/>
  <c r="E41" i="6"/>
  <c r="K34" i="6"/>
  <c r="G34" i="6" s="1"/>
  <c r="H34" i="6" s="1"/>
  <c r="K23" i="6"/>
  <c r="G23" i="6" s="1"/>
  <c r="H23" i="6" s="1"/>
  <c r="E28" i="6"/>
  <c r="E30" i="6"/>
  <c r="E37" i="6"/>
  <c r="E14" i="6"/>
  <c r="E21" i="6"/>
  <c r="E10" i="6"/>
  <c r="E36" i="6"/>
  <c r="E18" i="6"/>
  <c r="E33" i="6"/>
  <c r="K20" i="6"/>
  <c r="G20" i="6" s="1"/>
  <c r="H20" i="6" s="1"/>
  <c r="E17" i="6"/>
  <c r="E32" i="6"/>
  <c r="E24" i="6"/>
  <c r="E5" i="6"/>
  <c r="K11" i="6"/>
  <c r="G11" i="6" s="1"/>
  <c r="H11" i="6" s="1"/>
  <c r="K37" i="6"/>
  <c r="G37" i="6" s="1"/>
  <c r="H37" i="6" s="1"/>
  <c r="K16" i="6"/>
  <c r="G16" i="6" s="1"/>
  <c r="H16" i="6" s="1"/>
  <c r="K21" i="6"/>
  <c r="G21" i="6" s="1"/>
  <c r="H21" i="6" s="1"/>
  <c r="E20" i="6"/>
  <c r="E11" i="6"/>
  <c r="K12" i="6"/>
  <c r="G12" i="6" s="1"/>
  <c r="H12" i="6" s="1"/>
  <c r="E16" i="6"/>
  <c r="E42" i="6"/>
  <c r="K10" i="6"/>
  <c r="G10" i="6" s="1"/>
  <c r="H10" i="6" s="1"/>
  <c r="K17" i="6"/>
  <c r="G17" i="6" s="1"/>
  <c r="H17" i="6" s="1"/>
  <c r="K28" i="6"/>
  <c r="G28" i="6" s="1"/>
  <c r="H28" i="6" s="1"/>
  <c r="K32" i="6"/>
  <c r="G32" i="6" s="1"/>
  <c r="H32" i="6" s="1"/>
  <c r="K9" i="6"/>
  <c r="G9" i="6" s="1"/>
  <c r="H9" i="6" s="1"/>
  <c r="E34" i="6"/>
  <c r="K24" i="6"/>
  <c r="G24" i="6" s="1"/>
  <c r="H24" i="6" s="1"/>
  <c r="K33" i="6"/>
  <c r="G33" i="6" s="1"/>
  <c r="H33" i="6" s="1"/>
  <c r="K36" i="6"/>
  <c r="G36" i="6" s="1"/>
  <c r="H36" i="6" s="1"/>
  <c r="G7" i="9"/>
  <c r="H7" i="9" s="1"/>
  <c r="G4" i="9"/>
  <c r="H4" i="9" s="1"/>
  <c r="G11" i="9"/>
  <c r="H11" i="9" s="1"/>
  <c r="K14" i="6"/>
  <c r="G14" i="6" s="1"/>
  <c r="H14" i="6" s="1"/>
  <c r="A6" i="9"/>
  <c r="G3" i="6"/>
  <c r="H3" i="6" s="1"/>
  <c r="E26" i="6"/>
  <c r="K31" i="6"/>
  <c r="G31" i="6" s="1"/>
  <c r="H31" i="6" s="1"/>
  <c r="E31" i="6"/>
  <c r="A7" i="6"/>
  <c r="K13" i="6"/>
  <c r="G13" i="6" s="1"/>
  <c r="H13" i="6" s="1"/>
  <c r="E13" i="6"/>
  <c r="K30" i="6"/>
  <c r="G30" i="6" s="1"/>
  <c r="H30" i="6" s="1"/>
  <c r="E35" i="6"/>
  <c r="K35" i="6"/>
  <c r="G35" i="6" s="1"/>
  <c r="H35" i="6" s="1"/>
  <c r="A18" i="6"/>
  <c r="A29" i="6"/>
  <c r="G10" i="9"/>
  <c r="H10" i="9" s="1"/>
  <c r="K29" i="6"/>
  <c r="G29" i="6" s="1"/>
  <c r="H29" i="6" s="1"/>
  <c r="E29" i="6"/>
  <c r="E40" i="6"/>
  <c r="A5" i="9"/>
  <c r="A24" i="9"/>
  <c r="A4" i="9"/>
  <c r="G3" i="9"/>
  <c r="H3" i="9" s="1"/>
  <c r="A22" i="9"/>
  <c r="A11" i="9"/>
  <c r="A29" i="9"/>
  <c r="A27" i="9"/>
  <c r="A10" i="9"/>
  <c r="A3" i="26"/>
  <c r="A5" i="26"/>
  <c r="A6" i="26"/>
  <c r="A46" i="6"/>
  <c r="A6" i="6"/>
  <c r="A39" i="6"/>
  <c r="A15" i="6"/>
  <c r="A14" i="6"/>
  <c r="A17" i="6"/>
  <c r="A16" i="6"/>
  <c r="A38" i="6"/>
  <c r="A20" i="6"/>
  <c r="A12" i="6"/>
  <c r="A10" i="6"/>
  <c r="A30" i="6"/>
  <c r="A44" i="6"/>
  <c r="A11" i="6"/>
  <c r="A4" i="6"/>
  <c r="A9" i="6"/>
  <c r="A24" i="6"/>
  <c r="K15" i="6"/>
  <c r="G15" i="6" s="1"/>
  <c r="H15" i="6" s="1"/>
  <c r="E15" i="6"/>
  <c r="E25" i="6"/>
  <c r="K25" i="6"/>
  <c r="G25" i="6" s="1"/>
  <c r="H25" i="6" s="1"/>
  <c r="K23" i="9" l="1"/>
  <c r="G23" i="9" s="1"/>
  <c r="H23" i="9" s="1"/>
  <c r="I24" i="9" s="1"/>
  <c r="K28" i="9" s="1"/>
  <c r="H28" i="9" s="1"/>
  <c r="K29" i="9" s="1"/>
  <c r="H29" i="9" s="1"/>
  <c r="G2" i="9" s="1"/>
  <c r="K38" i="6"/>
  <c r="G38" i="6" s="1"/>
  <c r="H38" i="6" s="1"/>
  <c r="E38" i="6"/>
  <c r="K42" i="6"/>
  <c r="G42" i="6" s="1"/>
  <c r="H42" i="6" s="1"/>
  <c r="E27" i="6"/>
  <c r="K27" i="6"/>
  <c r="G27" i="6" s="1"/>
  <c r="H27" i="6" s="1"/>
  <c r="K39" i="6"/>
  <c r="G39" i="6" s="1"/>
  <c r="H39" i="6" s="1"/>
  <c r="E39" i="6"/>
  <c r="G2" i="26"/>
  <c r="K40" i="6"/>
  <c r="G40" i="6" s="1"/>
  <c r="H40" i="6" s="1"/>
  <c r="K26" i="6"/>
  <c r="G26" i="6" s="1"/>
  <c r="H26" i="6" s="1"/>
  <c r="K6" i="6"/>
  <c r="H6" i="6" s="1"/>
  <c r="K7" i="6" l="1"/>
  <c r="H7" i="6" s="1"/>
  <c r="I43" i="6" s="1"/>
  <c r="K47" i="6" s="1"/>
  <c r="H47" i="6" s="1"/>
  <c r="K48" i="6" l="1"/>
  <c r="H48" i="6" s="1"/>
  <c r="G2" i="6" s="1"/>
  <c r="N12" i="9"/>
  <c r="N21" i="9"/>
  <c r="K9" i="18"/>
  <c r="N9" i="3"/>
  <c r="N10" i="6"/>
  <c r="N47" i="3"/>
  <c r="N13" i="6"/>
  <c r="N10" i="9"/>
  <c r="N49" i="3"/>
  <c r="F68" i="13"/>
  <c r="N10" i="32"/>
  <c r="N7" i="9"/>
  <c r="N17" i="6"/>
  <c r="J9" i="12"/>
  <c r="N44" i="3"/>
  <c r="N12" i="6"/>
  <c r="N9" i="6"/>
  <c r="N8" i="3"/>
  <c r="N20" i="3"/>
  <c r="N18" i="6"/>
  <c r="N16" i="3"/>
  <c r="E67" i="13"/>
  <c r="N40" i="6"/>
  <c r="N21" i="6"/>
  <c r="N42" i="3"/>
  <c r="F67" i="13"/>
  <c r="N58" i="3"/>
  <c r="N16" i="9"/>
  <c r="N36" i="6"/>
  <c r="N35" i="3"/>
  <c r="K232" i="17"/>
  <c r="N9" i="32"/>
  <c r="N19" i="3"/>
  <c r="N17" i="9"/>
  <c r="G67" i="13"/>
  <c r="E68" i="13"/>
  <c r="N51" i="3"/>
  <c r="N10" i="3"/>
  <c r="N15" i="32"/>
  <c r="K250" i="17"/>
  <c r="N3" i="32"/>
  <c r="N33" i="6"/>
  <c r="N4" i="6"/>
  <c r="N24" i="6"/>
  <c r="N18" i="3"/>
  <c r="N34" i="3"/>
  <c r="N24" i="3"/>
  <c r="N3" i="6"/>
  <c r="N50" i="3"/>
  <c r="N26" i="6"/>
  <c r="N32" i="3"/>
  <c r="N9" i="9"/>
  <c r="N22" i="9"/>
  <c r="N23" i="6"/>
  <c r="N34" i="6"/>
  <c r="N11" i="9"/>
  <c r="N38" i="6"/>
  <c r="N16" i="6"/>
  <c r="N22" i="3"/>
  <c r="N38" i="3"/>
  <c r="J18" i="13"/>
  <c r="N30" i="6"/>
  <c r="N37" i="6"/>
  <c r="N32" i="6"/>
  <c r="G68" i="13"/>
  <c r="N15" i="3"/>
  <c r="N37" i="3"/>
  <c r="N21" i="32"/>
  <c r="N4" i="32"/>
  <c r="N23" i="3"/>
  <c r="B67" i="13"/>
  <c r="N41" i="6"/>
  <c r="N23" i="9"/>
  <c r="N3" i="9"/>
  <c r="N14" i="6"/>
  <c r="N4" i="9"/>
  <c r="N22" i="32"/>
  <c r="K67" i="17"/>
  <c r="N20" i="9"/>
  <c r="N39" i="6"/>
  <c r="N19" i="9"/>
  <c r="N5" i="6"/>
  <c r="N40" i="3"/>
  <c r="N28" i="6"/>
  <c r="N42" i="6"/>
  <c r="N3" i="26"/>
  <c r="B68" i="13"/>
  <c r="N45" i="3"/>
  <c r="N8" i="9"/>
  <c r="N13" i="9"/>
  <c r="K37" i="17"/>
  <c r="N25" i="6"/>
  <c r="N17" i="3"/>
  <c r="N15" i="9"/>
  <c r="K122" i="17"/>
  <c r="N6" i="9"/>
  <c r="C68" i="13"/>
  <c r="N22" i="6"/>
  <c r="N29" i="6"/>
  <c r="N31" i="6"/>
  <c r="J10" i="13"/>
  <c r="N12" i="3"/>
  <c r="N11" i="3"/>
  <c r="K177" i="17"/>
  <c r="N13" i="3"/>
  <c r="N4" i="26"/>
  <c r="K9" i="17"/>
  <c r="N6" i="3"/>
  <c r="J172" i="13"/>
  <c r="N19" i="6"/>
  <c r="N5" i="9"/>
  <c r="N21" i="3"/>
  <c r="N4" i="3"/>
  <c r="N27" i="6"/>
  <c r="N16" i="32"/>
  <c r="N43" i="3"/>
  <c r="N15" i="6"/>
  <c r="N46" i="3"/>
  <c r="N18" i="9"/>
  <c r="N20" i="6"/>
  <c r="N31" i="3"/>
  <c r="N33" i="3"/>
  <c r="N14" i="3"/>
  <c r="N41" i="3"/>
  <c r="N36" i="3"/>
  <c r="K271" i="17"/>
  <c r="N11" i="6"/>
  <c r="K292" i="17"/>
  <c r="N7" i="3"/>
  <c r="C67" i="13"/>
  <c r="N35" i="6"/>
  <c r="N3" i="3"/>
  <c r="N39" i="3"/>
  <c r="N48" i="3"/>
  <c r="N5" i="3"/>
  <c r="N14" i="9"/>
  <c r="K52" i="17"/>
  <c r="J69" i="13"/>
  <c r="A10" i="13" l="1"/>
  <c r="B10" i="13"/>
  <c r="A9" i="12"/>
  <c r="A9" i="17"/>
  <c r="H67" i="13"/>
  <c r="A9" i="18"/>
  <c r="A69" i="13"/>
  <c r="H68" i="13"/>
  <c r="D67" i="13"/>
  <c r="K53" i="17"/>
  <c r="K38" i="17"/>
  <c r="J173" i="13"/>
  <c r="K68" i="17"/>
  <c r="D68" i="13"/>
  <c r="K123" i="17"/>
  <c r="K272" i="17"/>
  <c r="K10" i="18"/>
  <c r="J19" i="13"/>
  <c r="G9" i="18"/>
  <c r="K293" i="17"/>
  <c r="K10" i="17"/>
  <c r="K178" i="17"/>
  <c r="J70" i="13"/>
  <c r="J11" i="13"/>
  <c r="I67" i="13"/>
  <c r="K233" i="17"/>
  <c r="I68" i="13"/>
  <c r="J10" i="12"/>
  <c r="K251" i="17"/>
  <c r="A11" i="13" l="1"/>
  <c r="B11" i="13"/>
  <c r="A10" i="12"/>
  <c r="A10" i="17"/>
  <c r="A70" i="13"/>
  <c r="A10" i="18"/>
  <c r="D9" i="18"/>
  <c r="K294" i="17"/>
  <c r="J174" i="13"/>
  <c r="C9" i="17"/>
  <c r="F9" i="17"/>
  <c r="F69" i="13"/>
  <c r="J11" i="12"/>
  <c r="G69" i="13"/>
  <c r="K69" i="17"/>
  <c r="B69" i="13"/>
  <c r="E10" i="18"/>
  <c r="K39" i="17"/>
  <c r="C69" i="13"/>
  <c r="C9" i="18"/>
  <c r="J9" i="18"/>
  <c r="K11" i="18"/>
  <c r="J20" i="13"/>
  <c r="D9" i="17"/>
  <c r="F9" i="12"/>
  <c r="E9" i="12"/>
  <c r="G9" i="17"/>
  <c r="G9" i="12"/>
  <c r="K11" i="17"/>
  <c r="H9" i="18"/>
  <c r="K124" i="17"/>
  <c r="K234" i="17"/>
  <c r="J71" i="13"/>
  <c r="K54" i="17"/>
  <c r="H9" i="17"/>
  <c r="H10" i="17"/>
  <c r="E9" i="18"/>
  <c r="B9" i="18"/>
  <c r="E10" i="12"/>
  <c r="K273" i="17"/>
  <c r="E69" i="13"/>
  <c r="B9" i="12"/>
  <c r="K252" i="17"/>
  <c r="K179" i="17"/>
  <c r="J12" i="13"/>
  <c r="B9" i="17"/>
  <c r="C9" i="12"/>
  <c r="C70" i="13"/>
  <c r="A12" i="13" l="1"/>
  <c r="A11" i="12"/>
  <c r="A71" i="13"/>
  <c r="A11" i="18"/>
  <c r="A11" i="17"/>
  <c r="A20" i="13"/>
  <c r="I9" i="18"/>
  <c r="H9" i="12"/>
  <c r="I9" i="17"/>
  <c r="H69" i="13"/>
  <c r="F9" i="18"/>
  <c r="E70" i="13"/>
  <c r="K12" i="18"/>
  <c r="K235" i="17"/>
  <c r="B10" i="12"/>
  <c r="K180" i="17"/>
  <c r="K55" i="17"/>
  <c r="G11" i="18"/>
  <c r="C10" i="18"/>
  <c r="J13" i="13"/>
  <c r="K125" i="17"/>
  <c r="D10" i="18"/>
  <c r="I9" i="12"/>
  <c r="J175" i="13"/>
  <c r="H10" i="18"/>
  <c r="D9" i="12"/>
  <c r="E9" i="17"/>
  <c r="I69" i="13"/>
  <c r="D10" i="17"/>
  <c r="J9" i="17"/>
  <c r="J12" i="12"/>
  <c r="B10" i="18"/>
  <c r="F10" i="12"/>
  <c r="F10" i="17"/>
  <c r="B11" i="17"/>
  <c r="G10" i="17"/>
  <c r="D69" i="13"/>
  <c r="F70" i="13"/>
  <c r="K40" i="17"/>
  <c r="K295" i="17"/>
  <c r="G10" i="18"/>
  <c r="G70" i="13"/>
  <c r="J72" i="13"/>
  <c r="K12" i="17"/>
  <c r="C10" i="17"/>
  <c r="E71" i="13"/>
  <c r="B10" i="17"/>
  <c r="K274" i="17"/>
  <c r="J10" i="18"/>
  <c r="C10" i="12"/>
  <c r="G10" i="12"/>
  <c r="B70" i="13"/>
  <c r="K70" i="17"/>
  <c r="K253" i="17"/>
  <c r="A72" i="13" l="1"/>
  <c r="A12" i="12"/>
  <c r="F10" i="18"/>
  <c r="A12" i="18"/>
  <c r="H10" i="12"/>
  <c r="A12" i="17"/>
  <c r="H70" i="13"/>
  <c r="I10" i="17"/>
  <c r="I10" i="18"/>
  <c r="C12" i="18"/>
  <c r="K13" i="18"/>
  <c r="K275" i="17"/>
  <c r="D70" i="13"/>
  <c r="D11" i="18"/>
  <c r="F11" i="12"/>
  <c r="E10" i="17"/>
  <c r="J73" i="13"/>
  <c r="J176" i="13"/>
  <c r="B11" i="12"/>
  <c r="I10" i="12"/>
  <c r="H11" i="18"/>
  <c r="H11" i="17"/>
  <c r="C11" i="18"/>
  <c r="J11" i="17"/>
  <c r="K296" i="17"/>
  <c r="K13" i="17"/>
  <c r="C11" i="17"/>
  <c r="F11" i="17"/>
  <c r="D11" i="17"/>
  <c r="G11" i="17"/>
  <c r="J10" i="17"/>
  <c r="F71" i="13"/>
  <c r="I70" i="13"/>
  <c r="K236" i="17"/>
  <c r="K181" i="17"/>
  <c r="C11" i="12"/>
  <c r="C71" i="13"/>
  <c r="D10" i="12"/>
  <c r="B11" i="18"/>
  <c r="G71" i="13"/>
  <c r="G72" i="13"/>
  <c r="E11" i="18"/>
  <c r="B71" i="13"/>
  <c r="K126" i="17"/>
  <c r="K71" i="17"/>
  <c r="G11" i="12"/>
  <c r="K41" i="17"/>
  <c r="J11" i="18"/>
  <c r="K254" i="17"/>
  <c r="K56" i="17"/>
  <c r="J13" i="12"/>
  <c r="J14" i="13"/>
  <c r="E11" i="17"/>
  <c r="E11" i="12"/>
  <c r="C12" i="12"/>
  <c r="C12" i="17"/>
  <c r="F11" i="18" l="1"/>
  <c r="A73" i="13"/>
  <c r="A13" i="12"/>
  <c r="I11" i="18"/>
  <c r="H71" i="13"/>
  <c r="A13" i="17"/>
  <c r="H11" i="12"/>
  <c r="A18" i="13"/>
  <c r="A30" i="13"/>
  <c r="A31" i="13"/>
  <c r="A22" i="13"/>
  <c r="A23" i="13"/>
  <c r="A14" i="13"/>
  <c r="A26" i="13"/>
  <c r="A25" i="13"/>
  <c r="A27" i="13"/>
  <c r="A16" i="13"/>
  <c r="A17" i="13"/>
  <c r="A29" i="13"/>
  <c r="A28" i="13"/>
  <c r="A24" i="13"/>
  <c r="I11" i="17"/>
  <c r="B25" i="13"/>
  <c r="I71" i="13"/>
  <c r="H12" i="17"/>
  <c r="B12" i="12"/>
  <c r="K57" i="17"/>
  <c r="J177" i="13"/>
  <c r="K14" i="18"/>
  <c r="F13" i="17"/>
  <c r="D12" i="18"/>
  <c r="F30" i="13"/>
  <c r="H12" i="18"/>
  <c r="G12" i="18"/>
  <c r="K127" i="17"/>
  <c r="G12" i="17"/>
  <c r="J74" i="13"/>
  <c r="E72" i="13"/>
  <c r="F12" i="12"/>
  <c r="F31" i="13"/>
  <c r="E27" i="13"/>
  <c r="K14" i="17"/>
  <c r="J14" i="12"/>
  <c r="K237" i="17"/>
  <c r="K297" i="17"/>
  <c r="E12" i="18"/>
  <c r="F12" i="17"/>
  <c r="K42" i="17"/>
  <c r="F72" i="13"/>
  <c r="F73" i="13"/>
  <c r="J12" i="18"/>
  <c r="B12" i="18"/>
  <c r="E23" i="13"/>
  <c r="E22" i="13"/>
  <c r="D11" i="12"/>
  <c r="G12" i="12"/>
  <c r="D12" i="17"/>
  <c r="B72" i="13"/>
  <c r="F13" i="12"/>
  <c r="K276" i="17"/>
  <c r="C72" i="13"/>
  <c r="E12" i="12"/>
  <c r="D71" i="13"/>
  <c r="G24" i="13"/>
  <c r="K255" i="17"/>
  <c r="K72" i="17"/>
  <c r="B12" i="17"/>
  <c r="C29" i="13"/>
  <c r="E28" i="13"/>
  <c r="C26" i="13"/>
  <c r="K182" i="17"/>
  <c r="I11" i="12"/>
  <c r="A74" i="13" l="1"/>
  <c r="I12" i="17"/>
  <c r="H2" i="18"/>
  <c r="I12" i="18"/>
  <c r="H14" i="18" s="1"/>
  <c r="E16" i="18"/>
  <c r="F14" i="18"/>
  <c r="A14" i="18"/>
  <c r="H12" i="12"/>
  <c r="A14" i="12"/>
  <c r="H72" i="13"/>
  <c r="A14" i="17"/>
  <c r="F12" i="18"/>
  <c r="C30" i="13"/>
  <c r="B28" i="13"/>
  <c r="F27" i="13"/>
  <c r="G30" i="13"/>
  <c r="F28" i="13"/>
  <c r="D12" i="12"/>
  <c r="K73" i="17"/>
  <c r="J75" i="13"/>
  <c r="J178" i="13"/>
  <c r="D72" i="13"/>
  <c r="B27" i="13"/>
  <c r="I25" i="13"/>
  <c r="D13" i="17"/>
  <c r="B26" i="13"/>
  <c r="I72" i="13"/>
  <c r="B23" i="13"/>
  <c r="C13" i="17"/>
  <c r="G13" i="17"/>
  <c r="G73" i="13"/>
  <c r="C24" i="13"/>
  <c r="K277" i="17"/>
  <c r="F22" i="13"/>
  <c r="E29" i="13"/>
  <c r="E25" i="13"/>
  <c r="B29" i="13"/>
  <c r="B22" i="13"/>
  <c r="E12" i="17"/>
  <c r="G28" i="13"/>
  <c r="J15" i="12"/>
  <c r="C28" i="13"/>
  <c r="K58" i="17"/>
  <c r="C13" i="12"/>
  <c r="K183" i="17"/>
  <c r="K15" i="17"/>
  <c r="G13" i="12"/>
  <c r="G31" i="13"/>
  <c r="J12" i="17"/>
  <c r="G22" i="13"/>
  <c r="K43" i="17"/>
  <c r="K238" i="17"/>
  <c r="I12" i="12"/>
  <c r="F29" i="13"/>
  <c r="K256" i="17"/>
  <c r="E24" i="13"/>
  <c r="K128" i="17"/>
  <c r="G23" i="13"/>
  <c r="E31" i="13"/>
  <c r="C73" i="13"/>
  <c r="C23" i="13"/>
  <c r="E26" i="13"/>
  <c r="C31" i="13"/>
  <c r="B13" i="17"/>
  <c r="E30" i="13"/>
  <c r="B73" i="13"/>
  <c r="G25" i="13"/>
  <c r="F25" i="13"/>
  <c r="B13" i="12"/>
  <c r="F24" i="13"/>
  <c r="E73" i="13"/>
  <c r="G29" i="13"/>
  <c r="B31" i="13"/>
  <c r="K298" i="17"/>
  <c r="C25" i="13"/>
  <c r="H13" i="17"/>
  <c r="G26" i="13"/>
  <c r="B30" i="13"/>
  <c r="C22" i="13"/>
  <c r="G27" i="13"/>
  <c r="D25" i="13"/>
  <c r="E13" i="12"/>
  <c r="B24" i="13"/>
  <c r="C27" i="13"/>
  <c r="F23" i="13"/>
  <c r="F26" i="13"/>
  <c r="B14" i="17"/>
  <c r="H13" i="12" l="1"/>
  <c r="H27" i="13"/>
  <c r="H28" i="13"/>
  <c r="A75" i="13"/>
  <c r="H73" i="13"/>
  <c r="A15" i="12"/>
  <c r="H16" i="18"/>
  <c r="E17" i="18" s="1"/>
  <c r="I13" i="17"/>
  <c r="H23" i="13"/>
  <c r="H24" i="13"/>
  <c r="H25" i="13"/>
  <c r="H29" i="13"/>
  <c r="A15" i="17"/>
  <c r="H22" i="13"/>
  <c r="D31" i="13"/>
  <c r="I31" i="13"/>
  <c r="H31" i="13"/>
  <c r="H30" i="13"/>
  <c r="H26" i="13"/>
  <c r="E33" i="13"/>
  <c r="I28" i="13"/>
  <c r="I30" i="13"/>
  <c r="I29" i="13"/>
  <c r="D28" i="13"/>
  <c r="D30" i="13"/>
  <c r="D29" i="13"/>
  <c r="D14" i="17"/>
  <c r="D13" i="12"/>
  <c r="K16" i="17"/>
  <c r="J14" i="17"/>
  <c r="I73" i="13"/>
  <c r="C74" i="13"/>
  <c r="D26" i="13"/>
  <c r="F74" i="13"/>
  <c r="K184" i="17"/>
  <c r="E74" i="13"/>
  <c r="K59" i="17"/>
  <c r="I23" i="13"/>
  <c r="E75" i="13"/>
  <c r="H14" i="17"/>
  <c r="G14" i="12"/>
  <c r="I27" i="13"/>
  <c r="D24" i="13"/>
  <c r="K239" i="17"/>
  <c r="E13" i="17"/>
  <c r="C14" i="17"/>
  <c r="J179" i="13"/>
  <c r="D23" i="13"/>
  <c r="J16" i="12"/>
  <c r="F14" i="17"/>
  <c r="E14" i="17"/>
  <c r="D22" i="13"/>
  <c r="G74" i="13"/>
  <c r="K44" i="17"/>
  <c r="B74" i="13"/>
  <c r="I22" i="13"/>
  <c r="C14" i="12"/>
  <c r="D27" i="13"/>
  <c r="I24" i="13"/>
  <c r="K129" i="17"/>
  <c r="D73" i="13"/>
  <c r="K278" i="17"/>
  <c r="I13" i="12"/>
  <c r="F14" i="12"/>
  <c r="K257" i="17"/>
  <c r="K299" i="17"/>
  <c r="J76" i="13"/>
  <c r="G14" i="17"/>
  <c r="J13" i="17"/>
  <c r="K74" i="17"/>
  <c r="B14" i="12"/>
  <c r="E14" i="12"/>
  <c r="I26" i="13"/>
  <c r="A76" i="13" l="1"/>
  <c r="H74" i="13"/>
  <c r="A16" i="12"/>
  <c r="A16" i="17"/>
  <c r="H14" i="12"/>
  <c r="I14" i="17"/>
  <c r="G33" i="13"/>
  <c r="K300" i="17"/>
  <c r="G15" i="12"/>
  <c r="K75" i="17"/>
  <c r="K279" i="17"/>
  <c r="K258" i="17"/>
  <c r="B15" i="12"/>
  <c r="C15" i="12"/>
  <c r="G15" i="17"/>
  <c r="I74" i="13"/>
  <c r="D74" i="13"/>
  <c r="J180" i="13"/>
  <c r="D15" i="17"/>
  <c r="H15" i="17"/>
  <c r="K240" i="17"/>
  <c r="I14" i="12"/>
  <c r="F15" i="17"/>
  <c r="K45" i="17"/>
  <c r="C15" i="17"/>
  <c r="J17" i="12"/>
  <c r="K17" i="17"/>
  <c r="K185" i="17"/>
  <c r="E15" i="12"/>
  <c r="F16" i="17"/>
  <c r="K60" i="17"/>
  <c r="F75" i="13"/>
  <c r="K130" i="17"/>
  <c r="C75" i="13"/>
  <c r="F15" i="12"/>
  <c r="D14" i="12"/>
  <c r="G75" i="13"/>
  <c r="J77" i="13"/>
  <c r="B15" i="17"/>
  <c r="B75" i="13"/>
  <c r="E76" i="13"/>
  <c r="A77" i="13" l="1"/>
  <c r="A17" i="12"/>
  <c r="H75" i="13"/>
  <c r="A17" i="17"/>
  <c r="H15" i="12"/>
  <c r="I15" i="17"/>
  <c r="D15" i="12"/>
  <c r="I15" i="12"/>
  <c r="D16" i="17"/>
  <c r="E15" i="17"/>
  <c r="J181" i="13"/>
  <c r="K280" i="17"/>
  <c r="C16" i="12"/>
  <c r="B16" i="12"/>
  <c r="B76" i="13"/>
  <c r="K131" i="17"/>
  <c r="K241" i="17"/>
  <c r="K18" i="17"/>
  <c r="D75" i="13"/>
  <c r="C16" i="17"/>
  <c r="K61" i="17"/>
  <c r="G16" i="12"/>
  <c r="B16" i="17"/>
  <c r="K259" i="17"/>
  <c r="C76" i="13"/>
  <c r="I75" i="13"/>
  <c r="J15" i="17"/>
  <c r="K186" i="17"/>
  <c r="K76" i="17"/>
  <c r="G16" i="17"/>
  <c r="K301" i="17"/>
  <c r="K46" i="17"/>
  <c r="F77" i="13"/>
  <c r="G76" i="13"/>
  <c r="J18" i="12"/>
  <c r="F76" i="13"/>
  <c r="F16" i="12"/>
  <c r="J78" i="13"/>
  <c r="H16" i="17"/>
  <c r="B17" i="17"/>
  <c r="E16" i="12"/>
  <c r="F17" i="12"/>
  <c r="A18" i="17" l="1"/>
  <c r="A78" i="13"/>
  <c r="A18" i="12"/>
  <c r="H76" i="13"/>
  <c r="H16" i="12"/>
  <c r="I16" i="17"/>
  <c r="I16" i="12"/>
  <c r="D16" i="12"/>
  <c r="H17" i="17"/>
  <c r="J19" i="12"/>
  <c r="G77" i="13"/>
  <c r="J17" i="17"/>
  <c r="J182" i="13"/>
  <c r="K281" i="17"/>
  <c r="F17" i="17"/>
  <c r="C17" i="17"/>
  <c r="D17" i="17"/>
  <c r="K242" i="17"/>
  <c r="B77" i="13"/>
  <c r="E17" i="17"/>
  <c r="G17" i="17"/>
  <c r="F18" i="12"/>
  <c r="K187" i="17"/>
  <c r="K77" i="17"/>
  <c r="C17" i="12"/>
  <c r="D76" i="13"/>
  <c r="K260" i="17"/>
  <c r="J79" i="13"/>
  <c r="E77" i="13"/>
  <c r="E16" i="17"/>
  <c r="I76" i="13"/>
  <c r="B17" i="12"/>
  <c r="K19" i="17"/>
  <c r="K47" i="17"/>
  <c r="K302" i="17"/>
  <c r="E17" i="12"/>
  <c r="E78" i="13"/>
  <c r="G17" i="12"/>
  <c r="K62" i="17"/>
  <c r="K132" i="17"/>
  <c r="C77" i="13"/>
  <c r="J16" i="17"/>
  <c r="C18" i="17"/>
  <c r="A79" i="13" l="1"/>
  <c r="A19" i="17"/>
  <c r="H17" i="12"/>
  <c r="H77" i="13"/>
  <c r="A19" i="12"/>
  <c r="I17" i="17"/>
  <c r="I17" i="12"/>
  <c r="D17" i="12"/>
  <c r="K78" i="17"/>
  <c r="B18" i="17"/>
  <c r="K20" i="17"/>
  <c r="K188" i="17"/>
  <c r="G18" i="12"/>
  <c r="D18" i="17"/>
  <c r="J80" i="13"/>
  <c r="D77" i="13"/>
  <c r="B18" i="12"/>
  <c r="G78" i="13"/>
  <c r="K133" i="17"/>
  <c r="C78" i="13"/>
  <c r="J183" i="13"/>
  <c r="K261" i="17"/>
  <c r="J20" i="12"/>
  <c r="C18" i="12"/>
  <c r="F78" i="13"/>
  <c r="K63" i="17"/>
  <c r="E18" i="12"/>
  <c r="K243" i="17"/>
  <c r="H18" i="17"/>
  <c r="B78" i="13"/>
  <c r="K282" i="17"/>
  <c r="K303" i="17"/>
  <c r="G18" i="17"/>
  <c r="K48" i="17"/>
  <c r="I77" i="13"/>
  <c r="F18" i="17"/>
  <c r="G79" i="13"/>
  <c r="C19" i="12"/>
  <c r="F19" i="17"/>
  <c r="A80" i="13" l="1"/>
  <c r="A20" i="17"/>
  <c r="A20" i="12"/>
  <c r="H78" i="13"/>
  <c r="I18" i="17"/>
  <c r="H18" i="12"/>
  <c r="D18" i="12"/>
  <c r="I18" i="12"/>
  <c r="K21" i="17"/>
  <c r="J21" i="12"/>
  <c r="K79" i="17"/>
  <c r="F19" i="12"/>
  <c r="K283" i="17"/>
  <c r="K189" i="17"/>
  <c r="K64" i="17"/>
  <c r="J184" i="13"/>
  <c r="C19" i="17"/>
  <c r="E79" i="13"/>
  <c r="E18" i="17"/>
  <c r="G19" i="12"/>
  <c r="C79" i="13"/>
  <c r="B79" i="13"/>
  <c r="D78" i="13"/>
  <c r="G19" i="17"/>
  <c r="K262" i="17"/>
  <c r="B19" i="12"/>
  <c r="J81" i="13"/>
  <c r="K244" i="17"/>
  <c r="E19" i="12"/>
  <c r="J18" i="17"/>
  <c r="H19" i="17"/>
  <c r="F79" i="13"/>
  <c r="D19" i="17"/>
  <c r="K49" i="17"/>
  <c r="I78" i="13"/>
  <c r="K134" i="17"/>
  <c r="B19" i="17"/>
  <c r="K304" i="17"/>
  <c r="G80" i="13"/>
  <c r="D20" i="17"/>
  <c r="B20" i="12"/>
  <c r="A81" i="13" l="1"/>
  <c r="A21" i="17"/>
  <c r="A21" i="12"/>
  <c r="H79" i="13"/>
  <c r="I19" i="17"/>
  <c r="D19" i="12"/>
  <c r="I19" i="12"/>
  <c r="H19" i="12"/>
  <c r="I20" i="12"/>
  <c r="D20" i="12"/>
  <c r="B80" i="13"/>
  <c r="E80" i="13"/>
  <c r="K245" i="17"/>
  <c r="K305" i="17"/>
  <c r="F20" i="12"/>
  <c r="J185" i="13"/>
  <c r="K135" i="17"/>
  <c r="E20" i="12"/>
  <c r="K22" i="17"/>
  <c r="C20" i="12"/>
  <c r="J22" i="12"/>
  <c r="C80" i="13"/>
  <c r="D79" i="13"/>
  <c r="J82" i="13"/>
  <c r="K65" i="17"/>
  <c r="K190" i="17"/>
  <c r="J19" i="17"/>
  <c r="G20" i="17"/>
  <c r="H20" i="17"/>
  <c r="F20" i="17"/>
  <c r="F80" i="13"/>
  <c r="I79" i="13"/>
  <c r="C20" i="17"/>
  <c r="B20" i="17"/>
  <c r="E19" i="17"/>
  <c r="K50" i="17"/>
  <c r="K263" i="17"/>
  <c r="K80" i="17"/>
  <c r="K284" i="17"/>
  <c r="B21" i="12"/>
  <c r="G20" i="12"/>
  <c r="F81" i="13"/>
  <c r="G21" i="17"/>
  <c r="A82" i="13" l="1"/>
  <c r="A22" i="17"/>
  <c r="H80" i="13"/>
  <c r="A22" i="12"/>
  <c r="I21" i="12"/>
  <c r="D21" i="12"/>
  <c r="I20" i="17"/>
  <c r="H20" i="12"/>
  <c r="A65" i="17"/>
  <c r="A50" i="17"/>
  <c r="J20" i="17"/>
  <c r="B81" i="13"/>
  <c r="K246" i="17"/>
  <c r="E21" i="12"/>
  <c r="K136" i="17"/>
  <c r="K264" i="17"/>
  <c r="K191" i="17"/>
  <c r="G81" i="13"/>
  <c r="D80" i="13"/>
  <c r="C21" i="12"/>
  <c r="E81" i="13"/>
  <c r="C81" i="13"/>
  <c r="G21" i="12"/>
  <c r="K306" i="17"/>
  <c r="B21" i="17"/>
  <c r="H21" i="17"/>
  <c r="E20" i="17"/>
  <c r="C21" i="17"/>
  <c r="K81" i="17"/>
  <c r="K285" i="17"/>
  <c r="J186" i="13"/>
  <c r="D21" i="17"/>
  <c r="J83" i="13"/>
  <c r="I80" i="13"/>
  <c r="D22" i="17"/>
  <c r="J23" i="12"/>
  <c r="F21" i="12"/>
  <c r="K23" i="17"/>
  <c r="F21" i="17"/>
  <c r="B82" i="13"/>
  <c r="B22" i="12"/>
  <c r="A83" i="13" l="1"/>
  <c r="A23" i="12"/>
  <c r="A23" i="17"/>
  <c r="H81" i="13"/>
  <c r="H21" i="12"/>
  <c r="I21" i="17"/>
  <c r="D22" i="12"/>
  <c r="I22" i="12"/>
  <c r="E21" i="17"/>
  <c r="K265" i="17"/>
  <c r="K137" i="17"/>
  <c r="F22" i="17"/>
  <c r="E22" i="12"/>
  <c r="E82" i="13"/>
  <c r="D82" i="13"/>
  <c r="D81" i="13"/>
  <c r="G82" i="13"/>
  <c r="J24" i="12"/>
  <c r="F82" i="13"/>
  <c r="K192" i="17"/>
  <c r="C22" i="12"/>
  <c r="F22" i="12"/>
  <c r="J187" i="13"/>
  <c r="I82" i="13"/>
  <c r="J84" i="13"/>
  <c r="K247" i="17"/>
  <c r="B22" i="17"/>
  <c r="K24" i="17"/>
  <c r="C22" i="17"/>
  <c r="C82" i="13"/>
  <c r="K82" i="17"/>
  <c r="J21" i="17"/>
  <c r="I81" i="13"/>
  <c r="E23" i="12"/>
  <c r="G22" i="12"/>
  <c r="G22" i="17"/>
  <c r="K307" i="17"/>
  <c r="H22" i="17"/>
  <c r="K286" i="17"/>
  <c r="G83" i="13"/>
  <c r="D23" i="17"/>
  <c r="A84" i="13" l="1"/>
  <c r="I22" i="17"/>
  <c r="A24" i="12"/>
  <c r="A24" i="17"/>
  <c r="H82" i="13"/>
  <c r="H22" i="12"/>
  <c r="J22" i="17"/>
  <c r="C23" i="12"/>
  <c r="K193" i="17"/>
  <c r="K25" i="17"/>
  <c r="F83" i="13"/>
  <c r="J85" i="13"/>
  <c r="J25" i="12"/>
  <c r="F23" i="12"/>
  <c r="K248" i="17"/>
  <c r="C23" i="17"/>
  <c r="G23" i="17"/>
  <c r="K287" i="17"/>
  <c r="H23" i="17"/>
  <c r="K308" i="17"/>
  <c r="F23" i="17"/>
  <c r="K266" i="17"/>
  <c r="E83" i="13"/>
  <c r="B83" i="13"/>
  <c r="E22" i="17"/>
  <c r="K83" i="17"/>
  <c r="J188" i="13"/>
  <c r="K138" i="17"/>
  <c r="B23" i="17"/>
  <c r="G23" i="12"/>
  <c r="C83" i="13"/>
  <c r="B23" i="12"/>
  <c r="F84" i="13"/>
  <c r="E24" i="12"/>
  <c r="F24" i="17"/>
  <c r="A25" i="17" l="1"/>
  <c r="A85" i="13"/>
  <c r="A25" i="12"/>
  <c r="H83" i="13"/>
  <c r="I23" i="12"/>
  <c r="D23" i="12"/>
  <c r="H23" i="12"/>
  <c r="I23" i="17"/>
  <c r="A248" i="17"/>
  <c r="E23" i="17"/>
  <c r="K267" i="17"/>
  <c r="C84" i="13"/>
  <c r="G84" i="13"/>
  <c r="K84" i="17"/>
  <c r="D25" i="17"/>
  <c r="B24" i="17"/>
  <c r="C24" i="17"/>
  <c r="B24" i="12"/>
  <c r="B84" i="13"/>
  <c r="K194" i="17"/>
  <c r="K309" i="17"/>
  <c r="K139" i="17"/>
  <c r="K26" i="17"/>
  <c r="J86" i="13"/>
  <c r="F24" i="12"/>
  <c r="D83" i="13"/>
  <c r="J189" i="13"/>
  <c r="K288" i="17"/>
  <c r="G24" i="17"/>
  <c r="D24" i="17"/>
  <c r="H24" i="17"/>
  <c r="J23" i="17"/>
  <c r="G24" i="12"/>
  <c r="G85" i="13"/>
  <c r="C24" i="12"/>
  <c r="J26" i="12"/>
  <c r="E84" i="13"/>
  <c r="I83" i="13"/>
  <c r="G25" i="12"/>
  <c r="A26" i="17" l="1"/>
  <c r="A86" i="13"/>
  <c r="A26" i="12"/>
  <c r="H84" i="13"/>
  <c r="I24" i="17"/>
  <c r="D24" i="12"/>
  <c r="I24" i="12"/>
  <c r="H24" i="12"/>
  <c r="K268" i="17"/>
  <c r="K27" i="17"/>
  <c r="F85" i="13"/>
  <c r="F25" i="12"/>
  <c r="C85" i="13"/>
  <c r="D84" i="13"/>
  <c r="H25" i="17"/>
  <c r="J24" i="17"/>
  <c r="J27" i="12"/>
  <c r="J87" i="13"/>
  <c r="K140" i="17"/>
  <c r="B85" i="13"/>
  <c r="F25" i="17"/>
  <c r="K310" i="17"/>
  <c r="B25" i="12"/>
  <c r="E25" i="12"/>
  <c r="K289" i="17"/>
  <c r="C25" i="17"/>
  <c r="E24" i="17"/>
  <c r="B25" i="17"/>
  <c r="E85" i="13"/>
  <c r="J190" i="13"/>
  <c r="C25" i="12"/>
  <c r="K195" i="17"/>
  <c r="G25" i="17"/>
  <c r="I84" i="13"/>
  <c r="K85" i="17"/>
  <c r="H26" i="17"/>
  <c r="G86" i="13"/>
  <c r="E26" i="12"/>
  <c r="A27" i="17" l="1"/>
  <c r="A87" i="13"/>
  <c r="H85" i="13"/>
  <c r="D25" i="12"/>
  <c r="I25" i="12"/>
  <c r="I25" i="17"/>
  <c r="H25" i="12"/>
  <c r="I85" i="13"/>
  <c r="K269" i="17"/>
  <c r="K86" i="17"/>
  <c r="B26" i="12"/>
  <c r="K196" i="17"/>
  <c r="J28" i="12"/>
  <c r="F86" i="13"/>
  <c r="J25" i="17"/>
  <c r="G26" i="17"/>
  <c r="B86" i="13"/>
  <c r="K141" i="17"/>
  <c r="B26" i="17"/>
  <c r="J88" i="13"/>
  <c r="K290" i="17"/>
  <c r="F26" i="17"/>
  <c r="J191" i="13"/>
  <c r="K311" i="17"/>
  <c r="C26" i="12"/>
  <c r="K28" i="17"/>
  <c r="E25" i="17"/>
  <c r="E86" i="13"/>
  <c r="F26" i="12"/>
  <c r="C26" i="17"/>
  <c r="G26" i="12"/>
  <c r="C86" i="13"/>
  <c r="D26" i="17"/>
  <c r="D85" i="13"/>
  <c r="G27" i="17"/>
  <c r="G87" i="13"/>
  <c r="A28" i="12" l="1"/>
  <c r="A28" i="17"/>
  <c r="I26" i="17"/>
  <c r="A88" i="13"/>
  <c r="H86" i="13"/>
  <c r="I26" i="12"/>
  <c r="D26" i="12"/>
  <c r="D30" i="12"/>
  <c r="G2" i="12"/>
  <c r="H26" i="12"/>
  <c r="G28" i="12" s="1"/>
  <c r="E28" i="12"/>
  <c r="A311" i="17"/>
  <c r="A290" i="17"/>
  <c r="A269" i="17"/>
  <c r="A191" i="13"/>
  <c r="K142" i="17"/>
  <c r="D86" i="13"/>
  <c r="K197" i="17"/>
  <c r="C27" i="17"/>
  <c r="J26" i="17"/>
  <c r="K29" i="17"/>
  <c r="H27" i="17"/>
  <c r="F27" i="17"/>
  <c r="D27" i="17"/>
  <c r="C87" i="13"/>
  <c r="E26" i="17"/>
  <c r="E87" i="13"/>
  <c r="F87" i="13"/>
  <c r="I86" i="13"/>
  <c r="B27" i="17"/>
  <c r="J29" i="12"/>
  <c r="B87" i="13"/>
  <c r="K87" i="17"/>
  <c r="J89" i="13"/>
  <c r="D28" i="17"/>
  <c r="C88" i="13"/>
  <c r="A29" i="17" l="1"/>
  <c r="A89" i="13"/>
  <c r="I27" i="17"/>
  <c r="H87" i="13"/>
  <c r="G30" i="12"/>
  <c r="D31" i="12" s="1"/>
  <c r="C28" i="17"/>
  <c r="D87" i="13"/>
  <c r="J90" i="13"/>
  <c r="F28" i="17"/>
  <c r="F88" i="13"/>
  <c r="B28" i="17"/>
  <c r="K198" i="17"/>
  <c r="K30" i="17"/>
  <c r="H28" i="17"/>
  <c r="I87" i="13"/>
  <c r="G28" i="17"/>
  <c r="E88" i="13"/>
  <c r="E27" i="17"/>
  <c r="J27" i="17"/>
  <c r="J30" i="12"/>
  <c r="K143" i="17"/>
  <c r="G88" i="13"/>
  <c r="B88" i="13"/>
  <c r="K88" i="17"/>
  <c r="H29" i="17"/>
  <c r="C89" i="13"/>
  <c r="A30" i="17" l="1"/>
  <c r="I28" i="17"/>
  <c r="A90" i="13"/>
  <c r="H88" i="13"/>
  <c r="F29" i="17"/>
  <c r="D88" i="13"/>
  <c r="K89" i="17"/>
  <c r="F89" i="13"/>
  <c r="K31" i="17"/>
  <c r="B29" i="17"/>
  <c r="J28" i="17"/>
  <c r="J91" i="13"/>
  <c r="B89" i="13"/>
  <c r="C29" i="17"/>
  <c r="E89" i="13"/>
  <c r="E28" i="17"/>
  <c r="D29" i="17"/>
  <c r="G29" i="17"/>
  <c r="K144" i="17"/>
  <c r="I88" i="13"/>
  <c r="G89" i="13"/>
  <c r="K199" i="17"/>
  <c r="H30" i="17"/>
  <c r="F90" i="13"/>
  <c r="A31" i="17" l="1"/>
  <c r="A91" i="13"/>
  <c r="I29" i="17"/>
  <c r="H89" i="13"/>
  <c r="G90" i="13"/>
  <c r="F30" i="17"/>
  <c r="E29" i="17"/>
  <c r="K145" i="17"/>
  <c r="J92" i="13"/>
  <c r="B90" i="13"/>
  <c r="K200" i="17"/>
  <c r="E90" i="13"/>
  <c r="D89" i="13"/>
  <c r="B30" i="17"/>
  <c r="D30" i="17"/>
  <c r="C90" i="13"/>
  <c r="J29" i="17"/>
  <c r="C30" i="17"/>
  <c r="K90" i="17"/>
  <c r="I89" i="13"/>
  <c r="K32" i="17"/>
  <c r="G30" i="17"/>
  <c r="G31" i="17"/>
  <c r="E91" i="13"/>
  <c r="A32" i="17" l="1"/>
  <c r="A92" i="13"/>
  <c r="I30" i="17"/>
  <c r="H90" i="13"/>
  <c r="K146" i="17"/>
  <c r="H31" i="17"/>
  <c r="K33" i="17"/>
  <c r="G91" i="13"/>
  <c r="C31" i="17"/>
  <c r="J93" i="13"/>
  <c r="I90" i="13"/>
  <c r="F31" i="17"/>
  <c r="D31" i="17"/>
  <c r="F91" i="13"/>
  <c r="K91" i="17"/>
  <c r="E30" i="17"/>
  <c r="C91" i="13"/>
  <c r="K201" i="17"/>
  <c r="D90" i="13"/>
  <c r="J30" i="17"/>
  <c r="B91" i="13"/>
  <c r="B31" i="17"/>
  <c r="G32" i="17"/>
  <c r="B92" i="13"/>
  <c r="A33" i="17" l="1"/>
  <c r="A93" i="13"/>
  <c r="I31" i="17"/>
  <c r="H91" i="13"/>
  <c r="K34" i="17"/>
  <c r="F92" i="13"/>
  <c r="J31" i="17"/>
  <c r="K202" i="17"/>
  <c r="I92" i="13"/>
  <c r="D92" i="13"/>
  <c r="K35" i="17"/>
  <c r="K92" i="17"/>
  <c r="E92" i="13"/>
  <c r="D91" i="13"/>
  <c r="G92" i="13"/>
  <c r="C32" i="17"/>
  <c r="C92" i="13"/>
  <c r="D32" i="17"/>
  <c r="I91" i="13"/>
  <c r="F32" i="17"/>
  <c r="B32" i="17"/>
  <c r="H32" i="17"/>
  <c r="K147" i="17"/>
  <c r="J94" i="13"/>
  <c r="J95" i="13" s="1"/>
  <c r="E31" i="17"/>
  <c r="D33" i="17"/>
  <c r="G93" i="13"/>
  <c r="A94" i="13" l="1"/>
  <c r="I32" i="17"/>
  <c r="H92" i="13"/>
  <c r="A95" i="13"/>
  <c r="A92" i="17"/>
  <c r="A77" i="17"/>
  <c r="A88" i="17"/>
  <c r="A38" i="17"/>
  <c r="A59" i="17"/>
  <c r="A80" i="17"/>
  <c r="A69" i="17"/>
  <c r="A91" i="17"/>
  <c r="A84" i="17"/>
  <c r="A89" i="17"/>
  <c r="A63" i="17"/>
  <c r="A75" i="17"/>
  <c r="A57" i="17"/>
  <c r="A45" i="17"/>
  <c r="A35" i="17"/>
  <c r="A42" i="17"/>
  <c r="A48" i="17"/>
  <c r="A81" i="17"/>
  <c r="A62" i="17"/>
  <c r="A41" i="17"/>
  <c r="A68" i="17"/>
  <c r="A56" i="17"/>
  <c r="A47" i="17"/>
  <c r="A76" i="17"/>
  <c r="A53" i="17"/>
  <c r="A72" i="17"/>
  <c r="A39" i="17"/>
  <c r="A74" i="17"/>
  <c r="A60" i="17"/>
  <c r="A71" i="17"/>
  <c r="A40" i="17"/>
  <c r="A61" i="17"/>
  <c r="A82" i="17"/>
  <c r="A78" i="17"/>
  <c r="A54" i="17"/>
  <c r="A58" i="17"/>
  <c r="A86" i="17"/>
  <c r="A85" i="17"/>
  <c r="A55" i="17"/>
  <c r="A52" i="17"/>
  <c r="A79" i="17"/>
  <c r="A44" i="17"/>
  <c r="A70" i="17"/>
  <c r="A43" i="17"/>
  <c r="A73" i="17"/>
  <c r="A83" i="17"/>
  <c r="A67" i="17"/>
  <c r="A87" i="17"/>
  <c r="A37" i="17"/>
  <c r="A46" i="17"/>
  <c r="A90" i="17"/>
  <c r="H38" i="17"/>
  <c r="H91" i="17"/>
  <c r="C40" i="17"/>
  <c r="F47" i="17"/>
  <c r="D42" i="17"/>
  <c r="B42" i="17"/>
  <c r="B81" i="17"/>
  <c r="C41" i="17"/>
  <c r="D76" i="17"/>
  <c r="E95" i="13"/>
  <c r="E32" i="17"/>
  <c r="F57" i="17"/>
  <c r="J32" i="17"/>
  <c r="D89" i="17"/>
  <c r="B77" i="17"/>
  <c r="H74" i="17"/>
  <c r="G39" i="17"/>
  <c r="C87" i="17"/>
  <c r="G33" i="17"/>
  <c r="G82" i="17"/>
  <c r="B63" i="17"/>
  <c r="C92" i="17"/>
  <c r="B87" i="17"/>
  <c r="C53" i="17"/>
  <c r="F91" i="17"/>
  <c r="F95" i="13"/>
  <c r="B91" i="17"/>
  <c r="G52" i="17"/>
  <c r="C58" i="17"/>
  <c r="D38" i="17"/>
  <c r="C57" i="17"/>
  <c r="B53" i="17"/>
  <c r="H92" i="17"/>
  <c r="C84" i="17"/>
  <c r="E93" i="13"/>
  <c r="B83" i="17"/>
  <c r="F41" i="17"/>
  <c r="B59" i="17"/>
  <c r="H42" i="17"/>
  <c r="B76" i="17"/>
  <c r="E94" i="13"/>
  <c r="F75" i="17"/>
  <c r="G92" i="17"/>
  <c r="H75" i="17"/>
  <c r="G46" i="17"/>
  <c r="D75" i="17"/>
  <c r="D58" i="17"/>
  <c r="D80" i="17"/>
  <c r="H84" i="17"/>
  <c r="B78" i="17"/>
  <c r="G68" i="17"/>
  <c r="H73" i="17"/>
  <c r="C71" i="17"/>
  <c r="H54" i="17"/>
  <c r="H88" i="17"/>
  <c r="D45" i="17"/>
  <c r="G81" i="17"/>
  <c r="G91" i="17"/>
  <c r="K148" i="17"/>
  <c r="F70" i="17"/>
  <c r="F82" i="17"/>
  <c r="H86" i="17"/>
  <c r="G41" i="17"/>
  <c r="G57" i="17"/>
  <c r="H68" i="17"/>
  <c r="F60" i="17"/>
  <c r="C90" i="17"/>
  <c r="H33" i="17"/>
  <c r="F77" i="17"/>
  <c r="B69" i="17"/>
  <c r="H69" i="17"/>
  <c r="C94" i="13"/>
  <c r="H62" i="17"/>
  <c r="G86" i="17"/>
  <c r="D56" i="17"/>
  <c r="K93" i="17"/>
  <c r="H77" i="17"/>
  <c r="G53" i="17"/>
  <c r="C42" i="17"/>
  <c r="B92" i="17"/>
  <c r="G77" i="17"/>
  <c r="H59" i="17"/>
  <c r="G59" i="17"/>
  <c r="G76" i="17"/>
  <c r="F33" i="17"/>
  <c r="B48" i="17"/>
  <c r="C77" i="17"/>
  <c r="G75" i="17"/>
  <c r="C48" i="17"/>
  <c r="B60" i="17"/>
  <c r="C33" i="17"/>
  <c r="F38" i="17"/>
  <c r="K203" i="17"/>
  <c r="H58" i="17"/>
  <c r="B95" i="13"/>
  <c r="D57" i="17"/>
  <c r="H47" i="17"/>
  <c r="D92" i="17"/>
  <c r="B41" i="17"/>
  <c r="B58" i="17"/>
  <c r="G38" i="17"/>
  <c r="B33" i="17"/>
  <c r="G58" i="17"/>
  <c r="B85" i="17"/>
  <c r="F58" i="17"/>
  <c r="C79" i="17"/>
  <c r="D40" i="17"/>
  <c r="C68" i="17"/>
  <c r="D41" i="17"/>
  <c r="C93" i="13"/>
  <c r="C88" i="17"/>
  <c r="C95" i="13"/>
  <c r="B68" i="17"/>
  <c r="C75" i="17"/>
  <c r="C38" i="17"/>
  <c r="B38" i="17"/>
  <c r="J96" i="13"/>
  <c r="B57" i="17"/>
  <c r="H48" i="17"/>
  <c r="B61" i="17"/>
  <c r="B84" i="17"/>
  <c r="B79" i="17"/>
  <c r="G74" i="17"/>
  <c r="F93" i="13"/>
  <c r="G88" i="17"/>
  <c r="D72" i="17"/>
  <c r="H52" i="17"/>
  <c r="F44" i="17"/>
  <c r="C91" i="17"/>
  <c r="B72" i="17"/>
  <c r="H37" i="17"/>
  <c r="G94" i="13"/>
  <c r="F94" i="13"/>
  <c r="G95" i="13"/>
  <c r="C61" i="17"/>
  <c r="B93" i="13"/>
  <c r="B45" i="17"/>
  <c r="F76" i="17"/>
  <c r="F45" i="17"/>
  <c r="D77" i="17"/>
  <c r="B82" i="17"/>
  <c r="B89" i="17"/>
  <c r="F74" i="17"/>
  <c r="H43" i="17"/>
  <c r="H41" i="17"/>
  <c r="H76" i="17"/>
  <c r="B94" i="13"/>
  <c r="H89" i="17"/>
  <c r="C63" i="17"/>
  <c r="D82" i="17"/>
  <c r="F92" i="17"/>
  <c r="D91" i="17"/>
  <c r="G67" i="17"/>
  <c r="C76" i="17"/>
  <c r="G84" i="17"/>
  <c r="B75" i="17"/>
  <c r="F56" i="17"/>
  <c r="D68" i="17"/>
  <c r="D43" i="17"/>
  <c r="F35" i="17" l="1"/>
  <c r="I33" i="17"/>
  <c r="H35" i="17" s="1"/>
  <c r="H93" i="13"/>
  <c r="A96" i="13"/>
  <c r="H94" i="13"/>
  <c r="H95" i="13"/>
  <c r="A93" i="17"/>
  <c r="J79" i="17"/>
  <c r="E79" i="17"/>
  <c r="J57" i="17"/>
  <c r="E57" i="17"/>
  <c r="J78" i="17"/>
  <c r="E78" i="17"/>
  <c r="I68" i="17"/>
  <c r="I76" i="17"/>
  <c r="J41" i="17"/>
  <c r="E41" i="17"/>
  <c r="E42" i="17"/>
  <c r="J42" i="17"/>
  <c r="E76" i="17"/>
  <c r="J76" i="17"/>
  <c r="J48" i="17"/>
  <c r="E48" i="17"/>
  <c r="E68" i="17"/>
  <c r="J68" i="17"/>
  <c r="J81" i="17"/>
  <c r="E81" i="17"/>
  <c r="E72" i="17"/>
  <c r="J72" i="17"/>
  <c r="I41" i="17"/>
  <c r="I75" i="17"/>
  <c r="J60" i="17"/>
  <c r="E60" i="17"/>
  <c r="I74" i="17"/>
  <c r="I86" i="17"/>
  <c r="E82" i="17"/>
  <c r="J82" i="17"/>
  <c r="E61" i="17"/>
  <c r="J61" i="17"/>
  <c r="E63" i="17"/>
  <c r="J63" i="17"/>
  <c r="J45" i="17"/>
  <c r="E45" i="17"/>
  <c r="I91" i="17"/>
  <c r="J53" i="17"/>
  <c r="E53" i="17"/>
  <c r="E69" i="17"/>
  <c r="J69" i="17"/>
  <c r="E38" i="17"/>
  <c r="J38" i="17"/>
  <c r="I84" i="17"/>
  <c r="I59" i="17"/>
  <c r="I38" i="17"/>
  <c r="I88" i="17"/>
  <c r="E77" i="17"/>
  <c r="J77" i="17"/>
  <c r="I77" i="17"/>
  <c r="E58" i="17"/>
  <c r="J58" i="17"/>
  <c r="J89" i="17"/>
  <c r="E89" i="17"/>
  <c r="J59" i="17"/>
  <c r="E59" i="17"/>
  <c r="I58" i="17"/>
  <c r="E75" i="17"/>
  <c r="J75" i="17"/>
  <c r="E84" i="17"/>
  <c r="J84" i="17"/>
  <c r="E92" i="17"/>
  <c r="J92" i="17"/>
  <c r="E91" i="17"/>
  <c r="J91" i="17"/>
  <c r="E85" i="17"/>
  <c r="J85" i="17"/>
  <c r="I52" i="17"/>
  <c r="J83" i="17"/>
  <c r="E83" i="17"/>
  <c r="E87" i="17"/>
  <c r="J87" i="17"/>
  <c r="I92" i="17"/>
  <c r="C80" i="17"/>
  <c r="C67" i="17"/>
  <c r="C89" i="17"/>
  <c r="H85" i="17"/>
  <c r="G44" i="17"/>
  <c r="G83" i="17"/>
  <c r="B39" i="17"/>
  <c r="D39" i="17"/>
  <c r="G54" i="17"/>
  <c r="B54" i="17"/>
  <c r="G89" i="17"/>
  <c r="G42" i="17"/>
  <c r="F46" i="17"/>
  <c r="C45" i="17"/>
  <c r="B88" i="17"/>
  <c r="F86" i="17"/>
  <c r="G61" i="17"/>
  <c r="F55" i="17"/>
  <c r="D69" i="17"/>
  <c r="B37" i="17"/>
  <c r="G56" i="17"/>
  <c r="G79" i="17"/>
  <c r="H45" i="17"/>
  <c r="F73" i="17"/>
  <c r="H82" i="17"/>
  <c r="F61" i="17"/>
  <c r="D48" i="17"/>
  <c r="F69" i="17"/>
  <c r="F72" i="17"/>
  <c r="C70" i="17"/>
  <c r="D78" i="17"/>
  <c r="H71" i="17"/>
  <c r="H60" i="17"/>
  <c r="B56" i="17"/>
  <c r="F93" i="17"/>
  <c r="C82" i="17"/>
  <c r="F42" i="17"/>
  <c r="D60" i="17"/>
  <c r="D54" i="17"/>
  <c r="D94" i="13"/>
  <c r="J33" i="17"/>
  <c r="G47" i="17"/>
  <c r="F87" i="17"/>
  <c r="H39" i="17"/>
  <c r="G87" i="17"/>
  <c r="G40" i="17"/>
  <c r="D70" i="17"/>
  <c r="F53" i="17"/>
  <c r="D81" i="17"/>
  <c r="B55" i="17"/>
  <c r="C72" i="17"/>
  <c r="D63" i="17"/>
  <c r="F43" i="17"/>
  <c r="G90" i="17"/>
  <c r="I93" i="13"/>
  <c r="H67" i="17"/>
  <c r="H79" i="17"/>
  <c r="B71" i="17"/>
  <c r="C73" i="17"/>
  <c r="D61" i="17"/>
  <c r="B44" i="17"/>
  <c r="G69" i="17"/>
  <c r="F52" i="17"/>
  <c r="F59" i="17"/>
  <c r="G55" i="17"/>
  <c r="G80" i="17"/>
  <c r="D67" i="17"/>
  <c r="B40" i="17"/>
  <c r="D85" i="17"/>
  <c r="E33" i="17"/>
  <c r="D47" i="17"/>
  <c r="D84" i="17"/>
  <c r="F79" i="17"/>
  <c r="D86" i="17"/>
  <c r="D73" i="17"/>
  <c r="H44" i="17"/>
  <c r="B70" i="17"/>
  <c r="I95" i="13"/>
  <c r="D44" i="17"/>
  <c r="C86" i="17"/>
  <c r="H72" i="17"/>
  <c r="F81" i="17"/>
  <c r="D87" i="17"/>
  <c r="F85" i="17"/>
  <c r="B73" i="17"/>
  <c r="G43" i="17"/>
  <c r="F62" i="17"/>
  <c r="D46" i="17"/>
  <c r="H90" i="17"/>
  <c r="H87" i="17"/>
  <c r="G48" i="17"/>
  <c r="D74" i="17"/>
  <c r="F80" i="17"/>
  <c r="G60" i="17"/>
  <c r="G63" i="17"/>
  <c r="H83" i="17"/>
  <c r="B90" i="17"/>
  <c r="C85" i="17"/>
  <c r="C78" i="17"/>
  <c r="C62" i="17"/>
  <c r="F67" i="17"/>
  <c r="H46" i="17"/>
  <c r="F84" i="17"/>
  <c r="D93" i="13"/>
  <c r="B47" i="17"/>
  <c r="H70" i="17"/>
  <c r="F40" i="17"/>
  <c r="B46" i="17"/>
  <c r="H80" i="17"/>
  <c r="B74" i="17"/>
  <c r="F89" i="17"/>
  <c r="D83" i="17"/>
  <c r="C39" i="17"/>
  <c r="K94" i="17"/>
  <c r="F83" i="17"/>
  <c r="D62" i="17"/>
  <c r="C43" i="17"/>
  <c r="G85" i="17"/>
  <c r="G72" i="17"/>
  <c r="F37" i="17"/>
  <c r="G70" i="17"/>
  <c r="H57" i="17"/>
  <c r="H78" i="17"/>
  <c r="G78" i="17"/>
  <c r="G45" i="17"/>
  <c r="C83" i="17"/>
  <c r="C55" i="17"/>
  <c r="C69" i="17"/>
  <c r="B86" i="17"/>
  <c r="I94" i="13"/>
  <c r="H81" i="17"/>
  <c r="C47" i="17"/>
  <c r="B67" i="17"/>
  <c r="C74" i="17"/>
  <c r="B43" i="17"/>
  <c r="D95" i="13"/>
  <c r="F90" i="17"/>
  <c r="K149" i="17"/>
  <c r="B52" i="17"/>
  <c r="K204" i="17"/>
  <c r="D53" i="17"/>
  <c r="F68" i="17"/>
  <c r="D88" i="17"/>
  <c r="F54" i="17"/>
  <c r="C37" i="17"/>
  <c r="D90" i="17"/>
  <c r="C46" i="17"/>
  <c r="G73" i="17"/>
  <c r="D79" i="17"/>
  <c r="G62" i="17"/>
  <c r="B62" i="17"/>
  <c r="C81" i="17"/>
  <c r="F39" i="17"/>
  <c r="C56" i="17"/>
  <c r="H40" i="17"/>
  <c r="H55" i="17"/>
  <c r="F48" i="17"/>
  <c r="C52" i="17"/>
  <c r="D59" i="17"/>
  <c r="F71" i="17"/>
  <c r="H61" i="17"/>
  <c r="F63" i="17"/>
  <c r="B80" i="17"/>
  <c r="D37" i="17"/>
  <c r="D71" i="17"/>
  <c r="H56" i="17"/>
  <c r="F78" i="17"/>
  <c r="C54" i="17"/>
  <c r="F88" i="17"/>
  <c r="D55" i="17"/>
  <c r="H63" i="17"/>
  <c r="D52" i="17"/>
  <c r="C44" i="17"/>
  <c r="J97" i="13"/>
  <c r="C59" i="17"/>
  <c r="C60" i="17"/>
  <c r="G37" i="17"/>
  <c r="G71" i="17"/>
  <c r="H53" i="17"/>
  <c r="E86" i="17" l="1"/>
  <c r="J86" i="17"/>
  <c r="I60" i="17"/>
  <c r="I57" i="17"/>
  <c r="I80" i="17"/>
  <c r="I45" i="17"/>
  <c r="J80" i="17"/>
  <c r="E80" i="17"/>
  <c r="I89" i="17"/>
  <c r="J37" i="17"/>
  <c r="E37" i="17"/>
  <c r="I79" i="17"/>
  <c r="I73" i="17"/>
  <c r="I72" i="17"/>
  <c r="I78" i="17"/>
  <c r="I81" i="17"/>
  <c r="E71" i="17"/>
  <c r="J71" i="17"/>
  <c r="A97" i="13"/>
  <c r="J44" i="17"/>
  <c r="E44" i="17"/>
  <c r="A94" i="17"/>
  <c r="I46" i="17"/>
  <c r="J46" i="17"/>
  <c r="E46" i="17"/>
  <c r="I37" i="17"/>
  <c r="I53" i="17"/>
  <c r="I44" i="17"/>
  <c r="I90" i="17"/>
  <c r="I43" i="17"/>
  <c r="I39" i="17"/>
  <c r="J73" i="17"/>
  <c r="E73" i="17"/>
  <c r="I55" i="17"/>
  <c r="I83" i="17"/>
  <c r="J90" i="17"/>
  <c r="E90" i="17"/>
  <c r="J39" i="17"/>
  <c r="E39" i="17"/>
  <c r="I87" i="17"/>
  <c r="I62" i="17"/>
  <c r="E70" i="17"/>
  <c r="J70" i="17"/>
  <c r="J67" i="17"/>
  <c r="E67" i="17"/>
  <c r="I71" i="17"/>
  <c r="I70" i="17"/>
  <c r="I69" i="17"/>
  <c r="E74" i="17"/>
  <c r="J74" i="17"/>
  <c r="J47" i="17"/>
  <c r="E47" i="17"/>
  <c r="I82" i="17"/>
  <c r="E54" i="17"/>
  <c r="J54" i="17"/>
  <c r="J52" i="17"/>
  <c r="E52" i="17"/>
  <c r="F50" i="17"/>
  <c r="I40" i="17"/>
  <c r="F65" i="17"/>
  <c r="I54" i="17"/>
  <c r="I56" i="17"/>
  <c r="I42" i="17"/>
  <c r="E88" i="17"/>
  <c r="J88" i="17"/>
  <c r="I48" i="17"/>
  <c r="E43" i="17"/>
  <c r="J43" i="17"/>
  <c r="E56" i="17"/>
  <c r="J56" i="17"/>
  <c r="I61" i="17"/>
  <c r="J62" i="17"/>
  <c r="E62" i="17"/>
  <c r="J55" i="17"/>
  <c r="E55" i="17"/>
  <c r="I85" i="17"/>
  <c r="J40" i="17"/>
  <c r="E40" i="17"/>
  <c r="I63" i="17"/>
  <c r="I47" i="17"/>
  <c r="I67" i="17"/>
  <c r="J98" i="13"/>
  <c r="H93" i="17"/>
  <c r="B96" i="13"/>
  <c r="G96" i="13"/>
  <c r="C93" i="17"/>
  <c r="B93" i="17"/>
  <c r="C96" i="13"/>
  <c r="K95" i="17"/>
  <c r="F96" i="13"/>
  <c r="G93" i="17"/>
  <c r="J99" i="13"/>
  <c r="K150" i="17"/>
  <c r="E96" i="13"/>
  <c r="F97" i="13"/>
  <c r="K205" i="17"/>
  <c r="D93" i="17"/>
  <c r="H94" i="17"/>
  <c r="A98" i="13" l="1"/>
  <c r="A99" i="13"/>
  <c r="J93" i="17"/>
  <c r="E93" i="17"/>
  <c r="A95" i="17"/>
  <c r="H96" i="13"/>
  <c r="I93" i="17"/>
  <c r="H50" i="17"/>
  <c r="H65" i="17"/>
  <c r="K151" i="17"/>
  <c r="K206" i="17"/>
  <c r="D96" i="13"/>
  <c r="J100" i="13"/>
  <c r="B97" i="13"/>
  <c r="E99" i="13"/>
  <c r="F94" i="17"/>
  <c r="I96" i="13"/>
  <c r="J101" i="13"/>
  <c r="G94" i="17"/>
  <c r="C94" i="17"/>
  <c r="B94" i="17"/>
  <c r="K96" i="17"/>
  <c r="E97" i="13"/>
  <c r="C97" i="13"/>
  <c r="G97" i="13"/>
  <c r="D94" i="17"/>
  <c r="F95" i="17"/>
  <c r="H97" i="13" l="1"/>
  <c r="A100" i="13"/>
  <c r="A101" i="13"/>
  <c r="A96" i="17"/>
  <c r="E94" i="17"/>
  <c r="J94" i="17"/>
  <c r="I94" i="17"/>
  <c r="C95" i="17"/>
  <c r="B95" i="17"/>
  <c r="G98" i="13"/>
  <c r="D97" i="13"/>
  <c r="B98" i="13"/>
  <c r="K152" i="17"/>
  <c r="B99" i="13"/>
  <c r="K207" i="17"/>
  <c r="E98" i="13"/>
  <c r="K97" i="17"/>
  <c r="G99" i="13"/>
  <c r="F99" i="13"/>
  <c r="D95" i="17"/>
  <c r="H95" i="17"/>
  <c r="F98" i="13"/>
  <c r="C98" i="13"/>
  <c r="I97" i="13"/>
  <c r="C99" i="13"/>
  <c r="G95" i="17"/>
  <c r="J102" i="13"/>
  <c r="C101" i="13"/>
  <c r="F100" i="13"/>
  <c r="C96" i="17"/>
  <c r="H98" i="13" l="1"/>
  <c r="A102" i="13"/>
  <c r="A97" i="17"/>
  <c r="H99" i="13"/>
  <c r="I95" i="17"/>
  <c r="J95" i="17"/>
  <c r="E95" i="17"/>
  <c r="J103" i="13"/>
  <c r="B101" i="13"/>
  <c r="J104" i="13"/>
  <c r="E100" i="13"/>
  <c r="B96" i="17"/>
  <c r="I99" i="13"/>
  <c r="C100" i="13"/>
  <c r="F101" i="13"/>
  <c r="D96" i="17"/>
  <c r="D98" i="13"/>
  <c r="G101" i="13"/>
  <c r="D99" i="13"/>
  <c r="K98" i="17"/>
  <c r="E101" i="13"/>
  <c r="G96" i="17"/>
  <c r="G100" i="13"/>
  <c r="K153" i="17"/>
  <c r="B100" i="13"/>
  <c r="K208" i="17"/>
  <c r="F96" i="17"/>
  <c r="I98" i="13"/>
  <c r="H96" i="17"/>
  <c r="C102" i="13"/>
  <c r="C97" i="17"/>
  <c r="A103" i="13" l="1"/>
  <c r="H100" i="13"/>
  <c r="A98" i="17"/>
  <c r="H101" i="13"/>
  <c r="J96" i="17"/>
  <c r="E96" i="17"/>
  <c r="I96" i="17"/>
  <c r="A104" i="13"/>
  <c r="E103" i="13"/>
  <c r="E102" i="13"/>
  <c r="D101" i="13"/>
  <c r="K154" i="17"/>
  <c r="K209" i="17"/>
  <c r="F97" i="17"/>
  <c r="I101" i="13"/>
  <c r="D97" i="17"/>
  <c r="G97" i="17"/>
  <c r="H97" i="17"/>
  <c r="B97" i="17"/>
  <c r="B102" i="13"/>
  <c r="I100" i="13"/>
  <c r="D100" i="13"/>
  <c r="J105" i="13"/>
  <c r="K99" i="17"/>
  <c r="K100" i="17" s="1"/>
  <c r="G102" i="13"/>
  <c r="F102" i="13"/>
  <c r="G103" i="13"/>
  <c r="B98" i="17"/>
  <c r="B104" i="13"/>
  <c r="A100" i="17" l="1"/>
  <c r="H102" i="13"/>
  <c r="A99" i="17"/>
  <c r="E97" i="17"/>
  <c r="J97" i="17"/>
  <c r="I97" i="17"/>
  <c r="J98" i="17"/>
  <c r="E98" i="17"/>
  <c r="A105" i="13"/>
  <c r="K101" i="17"/>
  <c r="F103" i="13"/>
  <c r="I104" i="13"/>
  <c r="H98" i="17"/>
  <c r="F104" i="13"/>
  <c r="G104" i="13"/>
  <c r="G98" i="17"/>
  <c r="F98" i="17"/>
  <c r="J106" i="13"/>
  <c r="I102" i="13"/>
  <c r="C104" i="13"/>
  <c r="D102" i="13"/>
  <c r="K155" i="17"/>
  <c r="D104" i="13"/>
  <c r="B103" i="13"/>
  <c r="C103" i="13"/>
  <c r="C98" i="17"/>
  <c r="K210" i="17"/>
  <c r="K102" i="17"/>
  <c r="E104" i="13"/>
  <c r="D98" i="17"/>
  <c r="G100" i="17"/>
  <c r="C105" i="13"/>
  <c r="H103" i="13" l="1"/>
  <c r="A101" i="17"/>
  <c r="I98" i="17"/>
  <c r="A106" i="13"/>
  <c r="H104" i="13"/>
  <c r="A102" i="17"/>
  <c r="I103" i="13"/>
  <c r="H100" i="17"/>
  <c r="D103" i="13"/>
  <c r="K156" i="17"/>
  <c r="B105" i="13"/>
  <c r="D99" i="17"/>
  <c r="C99" i="17"/>
  <c r="D100" i="17"/>
  <c r="F99" i="17"/>
  <c r="H99" i="17"/>
  <c r="G105" i="13"/>
  <c r="J107" i="13"/>
  <c r="E105" i="13"/>
  <c r="K211" i="17"/>
  <c r="F105" i="13"/>
  <c r="C100" i="17"/>
  <c r="G99" i="17"/>
  <c r="B99" i="17"/>
  <c r="K103" i="17"/>
  <c r="F100" i="17"/>
  <c r="B100" i="17"/>
  <c r="F101" i="17"/>
  <c r="G106" i="13"/>
  <c r="I100" i="17" l="1"/>
  <c r="I99" i="17"/>
  <c r="E100" i="17"/>
  <c r="J100" i="17"/>
  <c r="E99" i="17"/>
  <c r="J99" i="17"/>
  <c r="A107" i="13"/>
  <c r="H105" i="13"/>
  <c r="A103" i="17"/>
  <c r="D101" i="17"/>
  <c r="K157" i="17"/>
  <c r="C106" i="13"/>
  <c r="K212" i="17"/>
  <c r="D105" i="13"/>
  <c r="E106" i="13"/>
  <c r="J108" i="13"/>
  <c r="F106" i="13"/>
  <c r="D102" i="17"/>
  <c r="G101" i="17"/>
  <c r="H101" i="17"/>
  <c r="B101" i="17"/>
  <c r="K104" i="17"/>
  <c r="B102" i="17"/>
  <c r="H102" i="17"/>
  <c r="F102" i="17"/>
  <c r="G102" i="17"/>
  <c r="C102" i="17"/>
  <c r="B106" i="13"/>
  <c r="I105" i="13"/>
  <c r="C101" i="17"/>
  <c r="F103" i="17"/>
  <c r="E107" i="13"/>
  <c r="J101" i="17" l="1"/>
  <c r="E101" i="17"/>
  <c r="I101" i="17"/>
  <c r="A108" i="13"/>
  <c r="H106" i="13"/>
  <c r="A104" i="17"/>
  <c r="I102" i="17"/>
  <c r="J102" i="17"/>
  <c r="E102" i="17"/>
  <c r="K158" i="17"/>
  <c r="I106" i="13"/>
  <c r="D103" i="17"/>
  <c r="H103" i="17"/>
  <c r="C103" i="17"/>
  <c r="J109" i="13"/>
  <c r="C107" i="13"/>
  <c r="B107" i="13"/>
  <c r="G107" i="13"/>
  <c r="K213" i="17"/>
  <c r="F107" i="13"/>
  <c r="K105" i="17"/>
  <c r="D106" i="13"/>
  <c r="J110" i="13"/>
  <c r="G103" i="17"/>
  <c r="B103" i="17"/>
  <c r="B104" i="17"/>
  <c r="E108" i="13"/>
  <c r="A109" i="13" l="1"/>
  <c r="H107" i="13"/>
  <c r="A110" i="13"/>
  <c r="E103" i="17"/>
  <c r="J103" i="17"/>
  <c r="A105" i="17"/>
  <c r="J104" i="17"/>
  <c r="E104" i="17"/>
  <c r="I103" i="17"/>
  <c r="D104" i="17"/>
  <c r="F104" i="17"/>
  <c r="G108" i="13"/>
  <c r="C108" i="13"/>
  <c r="J111" i="13"/>
  <c r="K106" i="17"/>
  <c r="C104" i="17"/>
  <c r="I107" i="13"/>
  <c r="H104" i="17"/>
  <c r="F108" i="13"/>
  <c r="K159" i="17"/>
  <c r="G104" i="17"/>
  <c r="B108" i="13"/>
  <c r="D107" i="13"/>
  <c r="K214" i="17"/>
  <c r="E109" i="13"/>
  <c r="C110" i="13"/>
  <c r="H108" i="13" l="1"/>
  <c r="A111" i="13"/>
  <c r="A106" i="17"/>
  <c r="I104" i="17"/>
  <c r="C109" i="13"/>
  <c r="H105" i="17"/>
  <c r="J112" i="13"/>
  <c r="F110" i="13"/>
  <c r="B110" i="13"/>
  <c r="F105" i="17"/>
  <c r="E110" i="13"/>
  <c r="C105" i="17"/>
  <c r="K215" i="17"/>
  <c r="G110" i="13"/>
  <c r="F109" i="13"/>
  <c r="K107" i="17"/>
  <c r="I108" i="13"/>
  <c r="D105" i="17"/>
  <c r="G109" i="13"/>
  <c r="G105" i="17"/>
  <c r="K160" i="17"/>
  <c r="B105" i="17"/>
  <c r="B109" i="13"/>
  <c r="D108" i="13"/>
  <c r="F106" i="17"/>
  <c r="C111" i="13"/>
  <c r="H109" i="13" l="1"/>
  <c r="A112" i="13"/>
  <c r="H110" i="13"/>
  <c r="A107" i="17"/>
  <c r="J105" i="17"/>
  <c r="E105" i="17"/>
  <c r="I105" i="17"/>
  <c r="G106" i="17"/>
  <c r="D109" i="13"/>
  <c r="B106" i="17"/>
  <c r="F111" i="13"/>
  <c r="J113" i="13"/>
  <c r="I110" i="13"/>
  <c r="K216" i="17"/>
  <c r="K108" i="17"/>
  <c r="I109" i="13"/>
  <c r="H106" i="17"/>
  <c r="D110" i="13"/>
  <c r="C106" i="17"/>
  <c r="D106" i="17"/>
  <c r="K161" i="17"/>
  <c r="G111" i="13"/>
  <c r="E111" i="13"/>
  <c r="B111" i="13"/>
  <c r="G112" i="13"/>
  <c r="A113" i="13" l="1"/>
  <c r="H111" i="13"/>
  <c r="A108" i="17"/>
  <c r="J106" i="17"/>
  <c r="E106" i="17"/>
  <c r="I106" i="17"/>
  <c r="F112" i="13"/>
  <c r="H107" i="17"/>
  <c r="J114" i="13"/>
  <c r="F107" i="17"/>
  <c r="E112" i="13"/>
  <c r="K217" i="17"/>
  <c r="B112" i="13"/>
  <c r="D107" i="17"/>
  <c r="G107" i="17"/>
  <c r="C112" i="13"/>
  <c r="C107" i="17"/>
  <c r="K109" i="17"/>
  <c r="B107" i="17"/>
  <c r="K162" i="17"/>
  <c r="D111" i="13"/>
  <c r="I111" i="13"/>
  <c r="E113" i="13"/>
  <c r="B108" i="17"/>
  <c r="A114" i="13" l="1"/>
  <c r="H112" i="13"/>
  <c r="A109" i="17"/>
  <c r="E108" i="17"/>
  <c r="J108" i="17"/>
  <c r="E107" i="17"/>
  <c r="J107" i="17"/>
  <c r="I107" i="17"/>
  <c r="D112" i="13"/>
  <c r="G108" i="17"/>
  <c r="G113" i="13"/>
  <c r="F108" i="17"/>
  <c r="K110" i="17"/>
  <c r="I112" i="13"/>
  <c r="F113" i="13"/>
  <c r="B113" i="13"/>
  <c r="D108" i="17"/>
  <c r="C113" i="13"/>
  <c r="K163" i="17"/>
  <c r="C108" i="17"/>
  <c r="J115" i="13"/>
  <c r="K218" i="17"/>
  <c r="H108" i="17"/>
  <c r="C114" i="13"/>
  <c r="G109" i="17"/>
  <c r="A115" i="13" l="1"/>
  <c r="H113" i="13"/>
  <c r="A110" i="17"/>
  <c r="I108" i="17"/>
  <c r="C109" i="17"/>
  <c r="H109" i="17"/>
  <c r="G114" i="13"/>
  <c r="F109" i="17"/>
  <c r="K111" i="17"/>
  <c r="F114" i="13"/>
  <c r="E114" i="13"/>
  <c r="B114" i="13"/>
  <c r="B109" i="17"/>
  <c r="D109" i="17"/>
  <c r="D113" i="13"/>
  <c r="K164" i="17"/>
  <c r="I113" i="13"/>
  <c r="J116" i="13"/>
  <c r="K219" i="17"/>
  <c r="E115" i="13"/>
  <c r="G110" i="17"/>
  <c r="A116" i="13" l="1"/>
  <c r="H114" i="13"/>
  <c r="A111" i="17"/>
  <c r="I109" i="17"/>
  <c r="E109" i="17"/>
  <c r="J109" i="17"/>
  <c r="I114" i="13"/>
  <c r="D110" i="17"/>
  <c r="F115" i="13"/>
  <c r="B110" i="17"/>
  <c r="K112" i="17"/>
  <c r="J117" i="13"/>
  <c r="B115" i="13"/>
  <c r="K220" i="17"/>
  <c r="C115" i="13"/>
  <c r="J118" i="13"/>
  <c r="G115" i="13"/>
  <c r="D114" i="13"/>
  <c r="H110" i="17"/>
  <c r="C110" i="17"/>
  <c r="K165" i="17"/>
  <c r="F110" i="17"/>
  <c r="C116" i="13"/>
  <c r="B111" i="17"/>
  <c r="A117" i="13" l="1"/>
  <c r="H115" i="13"/>
  <c r="A112" i="17"/>
  <c r="I110" i="17"/>
  <c r="E110" i="17"/>
  <c r="J110" i="17"/>
  <c r="J111" i="17"/>
  <c r="E111" i="17"/>
  <c r="A118" i="13"/>
  <c r="F116" i="13"/>
  <c r="K166" i="17"/>
  <c r="K113" i="17"/>
  <c r="D111" i="17"/>
  <c r="G111" i="17"/>
  <c r="D115" i="13"/>
  <c r="G116" i="13"/>
  <c r="I115" i="13"/>
  <c r="F111" i="17"/>
  <c r="J119" i="13"/>
  <c r="E116" i="13"/>
  <c r="C111" i="17"/>
  <c r="B116" i="13"/>
  <c r="H111" i="17"/>
  <c r="K221" i="17"/>
  <c r="G117" i="13"/>
  <c r="D112" i="17"/>
  <c r="H116" i="13" l="1"/>
  <c r="A113" i="17"/>
  <c r="I111" i="17"/>
  <c r="A119" i="13"/>
  <c r="F117" i="13"/>
  <c r="I116" i="13"/>
  <c r="K222" i="17"/>
  <c r="B112" i="17"/>
  <c r="G112" i="17"/>
  <c r="F118" i="13"/>
  <c r="B118" i="13"/>
  <c r="E118" i="13"/>
  <c r="B117" i="13"/>
  <c r="E117" i="13"/>
  <c r="G118" i="13"/>
  <c r="K167" i="17"/>
  <c r="C117" i="13"/>
  <c r="C118" i="13"/>
  <c r="J120" i="13"/>
  <c r="F112" i="17"/>
  <c r="D116" i="13"/>
  <c r="H112" i="17"/>
  <c r="C112" i="17"/>
  <c r="K114" i="17"/>
  <c r="H113" i="17"/>
  <c r="H117" i="13" l="1"/>
  <c r="A114" i="17"/>
  <c r="J112" i="17"/>
  <c r="E112" i="17"/>
  <c r="I112" i="17"/>
  <c r="A120" i="13"/>
  <c r="H118" i="13"/>
  <c r="K223" i="17"/>
  <c r="K168" i="17"/>
  <c r="B113" i="17"/>
  <c r="J121" i="13"/>
  <c r="K115" i="17"/>
  <c r="B119" i="13"/>
  <c r="I117" i="13"/>
  <c r="I118" i="13"/>
  <c r="C113" i="17"/>
  <c r="D118" i="13"/>
  <c r="G119" i="13"/>
  <c r="F113" i="17"/>
  <c r="G113" i="17"/>
  <c r="F119" i="13"/>
  <c r="D113" i="17"/>
  <c r="D117" i="13"/>
  <c r="C119" i="13"/>
  <c r="E119" i="13"/>
  <c r="C114" i="17"/>
  <c r="A115" i="17" l="1"/>
  <c r="E113" i="17"/>
  <c r="J113" i="17"/>
  <c r="I113" i="17"/>
  <c r="A121" i="13"/>
  <c r="H119" i="13"/>
  <c r="K116" i="17"/>
  <c r="G114" i="17"/>
  <c r="K224" i="17"/>
  <c r="F114" i="17"/>
  <c r="K169" i="17"/>
  <c r="B114" i="17"/>
  <c r="H114" i="17"/>
  <c r="D114" i="17"/>
  <c r="H115" i="17"/>
  <c r="A116" i="17" l="1"/>
  <c r="I114" i="17"/>
  <c r="J114" i="17"/>
  <c r="E114" i="17"/>
  <c r="G61" i="13"/>
  <c r="K170" i="17"/>
  <c r="K171" i="17"/>
  <c r="F120" i="13"/>
  <c r="F115" i="17"/>
  <c r="C121" i="13"/>
  <c r="C120" i="13"/>
  <c r="C115" i="17"/>
  <c r="B115" i="17"/>
  <c r="F121" i="13"/>
  <c r="G120" i="13"/>
  <c r="G121" i="13"/>
  <c r="D115" i="17"/>
  <c r="K117" i="17"/>
  <c r="E121" i="13"/>
  <c r="I119" i="13"/>
  <c r="K225" i="17"/>
  <c r="G115" i="17"/>
  <c r="E120" i="13"/>
  <c r="D119" i="13"/>
  <c r="B120" i="13"/>
  <c r="B121" i="13"/>
  <c r="J122" i="13"/>
  <c r="F116" i="17"/>
  <c r="A117" i="17" l="1"/>
  <c r="I115" i="17"/>
  <c r="J115" i="17"/>
  <c r="E115" i="17"/>
  <c r="H121" i="13"/>
  <c r="A122" i="13"/>
  <c r="H120" i="13"/>
  <c r="K118" i="17"/>
  <c r="D116" i="17"/>
  <c r="C116" i="17"/>
  <c r="G116" i="17"/>
  <c r="B116" i="17"/>
  <c r="H116" i="17"/>
  <c r="K226" i="17"/>
  <c r="I121" i="13"/>
  <c r="K172" i="17"/>
  <c r="D120" i="13"/>
  <c r="D121" i="13"/>
  <c r="I120" i="13"/>
  <c r="J123" i="13"/>
  <c r="C117" i="17"/>
  <c r="G122" i="13"/>
  <c r="A118" i="17" l="1"/>
  <c r="J116" i="17"/>
  <c r="E116" i="17"/>
  <c r="I116" i="17"/>
  <c r="A123" i="13"/>
  <c r="K119" i="17"/>
  <c r="D117" i="17"/>
  <c r="B117" i="17"/>
  <c r="H117" i="17"/>
  <c r="C122" i="13"/>
  <c r="F122" i="13"/>
  <c r="K227" i="17"/>
  <c r="K173" i="17"/>
  <c r="F117" i="17"/>
  <c r="G117" i="17"/>
  <c r="J124" i="13"/>
  <c r="K120" i="17"/>
  <c r="B122" i="13"/>
  <c r="E122" i="13"/>
  <c r="B118" i="17"/>
  <c r="C123" i="13"/>
  <c r="J118" i="17" l="1"/>
  <c r="E118" i="17"/>
  <c r="I117" i="17"/>
  <c r="E117" i="17"/>
  <c r="J117" i="17"/>
  <c r="A150" i="17"/>
  <c r="A148" i="17"/>
  <c r="A158" i="17"/>
  <c r="A131" i="17"/>
  <c r="A169" i="17"/>
  <c r="A155" i="17"/>
  <c r="A133" i="17"/>
  <c r="A125" i="17"/>
  <c r="A126" i="17"/>
  <c r="A170" i="17"/>
  <c r="A134" i="17"/>
  <c r="A167" i="17"/>
  <c r="A162" i="17"/>
  <c r="A136" i="17"/>
  <c r="A135" i="17"/>
  <c r="A130" i="17"/>
  <c r="A149" i="17"/>
  <c r="A160" i="17"/>
  <c r="A146" i="17"/>
  <c r="A164" i="17"/>
  <c r="A143" i="17"/>
  <c r="A128" i="17"/>
  <c r="A168" i="17"/>
  <c r="A132" i="17"/>
  <c r="A161" i="17"/>
  <c r="A151" i="17"/>
  <c r="A122" i="17"/>
  <c r="A140" i="17"/>
  <c r="A159" i="17"/>
  <c r="A145" i="17"/>
  <c r="A138" i="17"/>
  <c r="A123" i="17"/>
  <c r="A165" i="17"/>
  <c r="A139" i="17"/>
  <c r="A171" i="17"/>
  <c r="A154" i="17"/>
  <c r="A157" i="17"/>
  <c r="A120" i="17"/>
  <c r="A144" i="17"/>
  <c r="A124" i="17"/>
  <c r="A163" i="17"/>
  <c r="A172" i="17"/>
  <c r="A142" i="17"/>
  <c r="A127" i="17"/>
  <c r="A156" i="17"/>
  <c r="A147" i="17"/>
  <c r="A129" i="17"/>
  <c r="A166" i="17"/>
  <c r="A152" i="17"/>
  <c r="A153" i="17"/>
  <c r="A141" i="17"/>
  <c r="A137" i="17"/>
  <c r="A173" i="17"/>
  <c r="H122" i="13"/>
  <c r="A124" i="13"/>
  <c r="K228" i="17"/>
  <c r="H143" i="17"/>
  <c r="B170" i="17"/>
  <c r="G146" i="17"/>
  <c r="D131" i="17"/>
  <c r="H128" i="17"/>
  <c r="D171" i="17"/>
  <c r="G123" i="13"/>
  <c r="H145" i="17"/>
  <c r="C125" i="17"/>
  <c r="D126" i="17"/>
  <c r="F123" i="17"/>
  <c r="B165" i="17"/>
  <c r="D123" i="17"/>
  <c r="F133" i="17"/>
  <c r="D125" i="17"/>
  <c r="B131" i="17"/>
  <c r="H148" i="17"/>
  <c r="B146" i="17"/>
  <c r="G142" i="17"/>
  <c r="G171" i="17"/>
  <c r="H136" i="17"/>
  <c r="G123" i="17"/>
  <c r="D165" i="17"/>
  <c r="H156" i="17"/>
  <c r="I122" i="13"/>
  <c r="G162" i="17"/>
  <c r="E123" i="13"/>
  <c r="C133" i="17"/>
  <c r="F118" i="17"/>
  <c r="B127" i="17"/>
  <c r="C144" i="17"/>
  <c r="F156" i="17"/>
  <c r="F144" i="17"/>
  <c r="C136" i="17"/>
  <c r="C158" i="17"/>
  <c r="F132" i="17"/>
  <c r="C126" i="17"/>
  <c r="D161" i="17"/>
  <c r="H168" i="17"/>
  <c r="B123" i="13"/>
  <c r="F139" i="17"/>
  <c r="B159" i="17"/>
  <c r="C140" i="17"/>
  <c r="B145" i="17"/>
  <c r="C150" i="17"/>
  <c r="H118" i="17"/>
  <c r="G157" i="17"/>
  <c r="C134" i="17"/>
  <c r="H171" i="17"/>
  <c r="H157" i="17"/>
  <c r="C131" i="17"/>
  <c r="H159" i="17"/>
  <c r="C123" i="17"/>
  <c r="G139" i="17"/>
  <c r="D122" i="17"/>
  <c r="F167" i="17"/>
  <c r="H134" i="17"/>
  <c r="C142" i="17"/>
  <c r="D158" i="17"/>
  <c r="B164" i="17"/>
  <c r="B132" i="17"/>
  <c r="D147" i="17"/>
  <c r="G168" i="17"/>
  <c r="B163" i="17"/>
  <c r="B161" i="17"/>
  <c r="K174" i="17"/>
  <c r="G132" i="17"/>
  <c r="C139" i="17"/>
  <c r="H135" i="17"/>
  <c r="C168" i="17"/>
  <c r="G172" i="17"/>
  <c r="H127" i="17"/>
  <c r="C143" i="17"/>
  <c r="H131" i="17"/>
  <c r="H170" i="17"/>
  <c r="H132" i="17"/>
  <c r="F151" i="17"/>
  <c r="F158" i="17"/>
  <c r="B172" i="17"/>
  <c r="H162" i="17"/>
  <c r="F134" i="17"/>
  <c r="C167" i="17"/>
  <c r="C169" i="17"/>
  <c r="F168" i="17"/>
  <c r="D140" i="17"/>
  <c r="G149" i="17"/>
  <c r="F165" i="17"/>
  <c r="C165" i="17"/>
  <c r="B155" i="17"/>
  <c r="J125" i="13"/>
  <c r="C156" i="17"/>
  <c r="B134" i="17"/>
  <c r="B167" i="17"/>
  <c r="C157" i="17"/>
  <c r="G156" i="17"/>
  <c r="F147" i="17"/>
  <c r="F162" i="17"/>
  <c r="H140" i="17"/>
  <c r="F149" i="17"/>
  <c r="D172" i="17"/>
  <c r="F127" i="17"/>
  <c r="B125" i="17"/>
  <c r="D150" i="17"/>
  <c r="H123" i="17"/>
  <c r="F159" i="17"/>
  <c r="B135" i="17"/>
  <c r="B136" i="17"/>
  <c r="C118" i="17"/>
  <c r="D133" i="17"/>
  <c r="G124" i="17"/>
  <c r="C163" i="17"/>
  <c r="C160" i="17"/>
  <c r="B147" i="17"/>
  <c r="F146" i="17"/>
  <c r="B151" i="17"/>
  <c r="F172" i="17"/>
  <c r="D129" i="17"/>
  <c r="F124" i="17"/>
  <c r="H161" i="17"/>
  <c r="B130" i="17"/>
  <c r="F140" i="17"/>
  <c r="D162" i="17"/>
  <c r="D149" i="17"/>
  <c r="C162" i="17"/>
  <c r="C135" i="17"/>
  <c r="G134" i="17"/>
  <c r="C170" i="17"/>
  <c r="D138" i="17"/>
  <c r="D118" i="17"/>
  <c r="F164" i="17"/>
  <c r="G138" i="17"/>
  <c r="G143" i="17"/>
  <c r="D167" i="17"/>
  <c r="B142" i="17"/>
  <c r="G164" i="17"/>
  <c r="C138" i="17"/>
  <c r="D143" i="17"/>
  <c r="F169" i="17"/>
  <c r="F161" i="17"/>
  <c r="D132" i="17"/>
  <c r="F126" i="17"/>
  <c r="G144" i="17"/>
  <c r="B169" i="17"/>
  <c r="G147" i="17"/>
  <c r="D153" i="17"/>
  <c r="F122" i="17"/>
  <c r="G159" i="17"/>
  <c r="F128" i="17"/>
  <c r="D146" i="17"/>
  <c r="G165" i="17"/>
  <c r="B166" i="17"/>
  <c r="C161" i="17"/>
  <c r="D151" i="17"/>
  <c r="B149" i="17"/>
  <c r="F143" i="17"/>
  <c r="D122" i="13"/>
  <c r="F130" i="17"/>
  <c r="C159" i="17"/>
  <c r="G131" i="17"/>
  <c r="B157" i="17"/>
  <c r="B150" i="17"/>
  <c r="B141" i="17"/>
  <c r="C137" i="17"/>
  <c r="B162" i="17"/>
  <c r="F155" i="17"/>
  <c r="C132" i="17"/>
  <c r="C149" i="17"/>
  <c r="D124" i="17"/>
  <c r="G135" i="17"/>
  <c r="F131" i="17"/>
  <c r="D163" i="17"/>
  <c r="D134" i="17"/>
  <c r="G167" i="17"/>
  <c r="H150" i="17"/>
  <c r="F163" i="17"/>
  <c r="H124" i="17"/>
  <c r="G140" i="17"/>
  <c r="H133" i="17"/>
  <c r="B143" i="17"/>
  <c r="B171" i="17"/>
  <c r="C172" i="17"/>
  <c r="D130" i="17"/>
  <c r="B140" i="17"/>
  <c r="F123" i="13"/>
  <c r="H149" i="17"/>
  <c r="G118" i="17"/>
  <c r="H165" i="17"/>
  <c r="H158" i="17"/>
  <c r="G161" i="17"/>
  <c r="D168" i="17"/>
  <c r="D157" i="17"/>
  <c r="D159" i="17"/>
  <c r="H154" i="17"/>
  <c r="H167" i="17"/>
  <c r="H125" i="17"/>
  <c r="B123" i="17"/>
  <c r="F157" i="17"/>
  <c r="F160" i="17"/>
  <c r="F138" i="17"/>
  <c r="B168" i="17"/>
  <c r="B152" i="17"/>
  <c r="B156" i="17"/>
  <c r="F173" i="17"/>
  <c r="F120" i="17" l="1"/>
  <c r="I118" i="17"/>
  <c r="H120" i="17" s="1"/>
  <c r="E127" i="17"/>
  <c r="J127" i="17"/>
  <c r="E132" i="17"/>
  <c r="J132" i="17"/>
  <c r="E134" i="17"/>
  <c r="J134" i="17"/>
  <c r="J155" i="17"/>
  <c r="E155" i="17"/>
  <c r="I131" i="17"/>
  <c r="J168" i="17"/>
  <c r="E168" i="17"/>
  <c r="E161" i="17"/>
  <c r="J161" i="17"/>
  <c r="E157" i="17"/>
  <c r="J157" i="17"/>
  <c r="I156" i="17"/>
  <c r="J130" i="17"/>
  <c r="E130" i="17"/>
  <c r="J164" i="17"/>
  <c r="E164" i="17"/>
  <c r="J146" i="17"/>
  <c r="E146" i="17"/>
  <c r="J150" i="17"/>
  <c r="E150" i="17"/>
  <c r="J135" i="17"/>
  <c r="E135" i="17"/>
  <c r="E169" i="17"/>
  <c r="J169" i="17"/>
  <c r="J145" i="17"/>
  <c r="E145" i="17"/>
  <c r="J156" i="17"/>
  <c r="E156" i="17"/>
  <c r="E152" i="17"/>
  <c r="J152" i="17"/>
  <c r="E147" i="17"/>
  <c r="J147" i="17"/>
  <c r="J151" i="17"/>
  <c r="E151" i="17"/>
  <c r="E136" i="17"/>
  <c r="J136" i="17"/>
  <c r="I132" i="17"/>
  <c r="J142" i="17"/>
  <c r="E142" i="17"/>
  <c r="I157" i="17"/>
  <c r="J163" i="17"/>
  <c r="E163" i="17"/>
  <c r="J125" i="17"/>
  <c r="E125" i="17"/>
  <c r="I149" i="17"/>
  <c r="J143" i="17"/>
  <c r="E143" i="17"/>
  <c r="I168" i="17"/>
  <c r="I171" i="17"/>
  <c r="E159" i="17"/>
  <c r="J159" i="17"/>
  <c r="I159" i="17"/>
  <c r="I123" i="17"/>
  <c r="E165" i="17"/>
  <c r="J165" i="17"/>
  <c r="I124" i="17"/>
  <c r="I167" i="17"/>
  <c r="E170" i="17"/>
  <c r="J170" i="17"/>
  <c r="I134" i="17"/>
  <c r="E141" i="17"/>
  <c r="J141" i="17"/>
  <c r="J167" i="17"/>
  <c r="E167" i="17"/>
  <c r="I135" i="17"/>
  <c r="I161" i="17"/>
  <c r="I165" i="17"/>
  <c r="E166" i="17"/>
  <c r="J166" i="17"/>
  <c r="J162" i="17"/>
  <c r="E162" i="17"/>
  <c r="E140" i="17"/>
  <c r="J140" i="17"/>
  <c r="E149" i="17"/>
  <c r="J149" i="17"/>
  <c r="I143" i="17"/>
  <c r="J171" i="17"/>
  <c r="E171" i="17"/>
  <c r="J123" i="17"/>
  <c r="E123" i="17"/>
  <c r="J131" i="17"/>
  <c r="E131" i="17"/>
  <c r="I162" i="17"/>
  <c r="I140" i="17"/>
  <c r="I123" i="13"/>
  <c r="D123" i="13"/>
  <c r="H123" i="13"/>
  <c r="A125" i="13"/>
  <c r="E172" i="17"/>
  <c r="J172" i="17"/>
  <c r="K229" i="17"/>
  <c r="H144" i="17"/>
  <c r="D160" i="17"/>
  <c r="G130" i="17"/>
  <c r="G158" i="17"/>
  <c r="B148" i="17"/>
  <c r="C127" i="17"/>
  <c r="F136" i="17"/>
  <c r="G125" i="17"/>
  <c r="H122" i="17"/>
  <c r="F141" i="17"/>
  <c r="B122" i="17"/>
  <c r="H160" i="17"/>
  <c r="C147" i="17"/>
  <c r="B138" i="17"/>
  <c r="H155" i="17"/>
  <c r="H126" i="17"/>
  <c r="B154" i="17"/>
  <c r="D141" i="17"/>
  <c r="F171" i="17"/>
  <c r="G137" i="17"/>
  <c r="G145" i="17"/>
  <c r="F137" i="17"/>
  <c r="B173" i="17"/>
  <c r="C148" i="17"/>
  <c r="D154" i="17"/>
  <c r="H146" i="17"/>
  <c r="C145" i="17"/>
  <c r="D145" i="17"/>
  <c r="D169" i="17"/>
  <c r="G152" i="17"/>
  <c r="F142" i="17"/>
  <c r="F150" i="17"/>
  <c r="G154" i="17"/>
  <c r="H164" i="17"/>
  <c r="H173" i="17"/>
  <c r="H129" i="17"/>
  <c r="D164" i="17"/>
  <c r="C141" i="17"/>
  <c r="C173" i="17"/>
  <c r="D137" i="17"/>
  <c r="H147" i="17"/>
  <c r="D128" i="17"/>
  <c r="C171" i="17"/>
  <c r="C153" i="17"/>
  <c r="C128" i="17"/>
  <c r="G173" i="17"/>
  <c r="G163" i="17"/>
  <c r="D148" i="17"/>
  <c r="C129" i="17"/>
  <c r="G127" i="17"/>
  <c r="C124" i="13"/>
  <c r="D173" i="17"/>
  <c r="C164" i="17"/>
  <c r="F166" i="17"/>
  <c r="D170" i="17"/>
  <c r="H142" i="17"/>
  <c r="G160" i="17"/>
  <c r="G169" i="17"/>
  <c r="D156" i="17"/>
  <c r="G151" i="17"/>
  <c r="D142" i="17"/>
  <c r="B139" i="17"/>
  <c r="B153" i="17"/>
  <c r="H172" i="17"/>
  <c r="F152" i="17"/>
  <c r="D135" i="17"/>
  <c r="F170" i="17"/>
  <c r="B144" i="17"/>
  <c r="G128" i="17"/>
  <c r="H153" i="17"/>
  <c r="D144" i="17"/>
  <c r="G122" i="17"/>
  <c r="B129" i="17"/>
  <c r="H151" i="17"/>
  <c r="D166" i="17"/>
  <c r="F148" i="17"/>
  <c r="K175" i="17"/>
  <c r="C130" i="17"/>
  <c r="D155" i="17"/>
  <c r="H152" i="17"/>
  <c r="G133" i="17"/>
  <c r="H169" i="17"/>
  <c r="D152" i="17"/>
  <c r="G150" i="17"/>
  <c r="H137" i="17"/>
  <c r="G126" i="17"/>
  <c r="G155" i="17"/>
  <c r="H163" i="17"/>
  <c r="C152" i="17"/>
  <c r="H139" i="17"/>
  <c r="G170" i="17"/>
  <c r="C122" i="17"/>
  <c r="J126" i="13"/>
  <c r="D136" i="17"/>
  <c r="H130" i="17"/>
  <c r="F135" i="17"/>
  <c r="E124" i="13"/>
  <c r="F125" i="17"/>
  <c r="G166" i="17"/>
  <c r="F153" i="17"/>
  <c r="D127" i="17"/>
  <c r="F129" i="17"/>
  <c r="B160" i="17"/>
  <c r="C166" i="17"/>
  <c r="C124" i="17"/>
  <c r="G148" i="17"/>
  <c r="H141" i="17"/>
  <c r="C151" i="17"/>
  <c r="G141" i="17"/>
  <c r="G124" i="13"/>
  <c r="G136" i="17"/>
  <c r="G153" i="17"/>
  <c r="B124" i="13"/>
  <c r="B158" i="17"/>
  <c r="C155" i="17"/>
  <c r="F124" i="13"/>
  <c r="F154" i="17"/>
  <c r="H166" i="17"/>
  <c r="B137" i="17"/>
  <c r="B133" i="17"/>
  <c r="C146" i="17"/>
  <c r="F145" i="17"/>
  <c r="D139" i="17"/>
  <c r="B128" i="17"/>
  <c r="B124" i="17"/>
  <c r="G129" i="17"/>
  <c r="B126" i="17"/>
  <c r="C154" i="17"/>
  <c r="H138" i="17"/>
  <c r="E160" i="17" l="1"/>
  <c r="J160" i="17"/>
  <c r="E153" i="17"/>
  <c r="J153" i="17"/>
  <c r="I148" i="17"/>
  <c r="I139" i="17"/>
  <c r="I172" i="17"/>
  <c r="I170" i="17"/>
  <c r="E128" i="17"/>
  <c r="J128" i="17"/>
  <c r="I136" i="17"/>
  <c r="I151" i="17"/>
  <c r="I128" i="17"/>
  <c r="E148" i="17"/>
  <c r="J148" i="17"/>
  <c r="E139" i="17"/>
  <c r="J139" i="17"/>
  <c r="I155" i="17"/>
  <c r="I144" i="17"/>
  <c r="E129" i="17"/>
  <c r="J129" i="17"/>
  <c r="I138" i="17"/>
  <c r="I129" i="17"/>
  <c r="I163" i="17"/>
  <c r="I142" i="17"/>
  <c r="E144" i="17"/>
  <c r="J144" i="17"/>
  <c r="E138" i="17"/>
  <c r="J138" i="17"/>
  <c r="I137" i="17"/>
  <c r="I153" i="17"/>
  <c r="J124" i="17"/>
  <c r="E124" i="17"/>
  <c r="I127" i="17"/>
  <c r="I154" i="17"/>
  <c r="E154" i="17"/>
  <c r="J154" i="17"/>
  <c r="I126" i="17"/>
  <c r="I147" i="17"/>
  <c r="J158" i="17"/>
  <c r="E158" i="17"/>
  <c r="I122" i="17"/>
  <c r="I141" i="17"/>
  <c r="I130" i="17"/>
  <c r="I164" i="17"/>
  <c r="I150" i="17"/>
  <c r="I158" i="17"/>
  <c r="E122" i="17"/>
  <c r="J122" i="17"/>
  <c r="J137" i="17"/>
  <c r="E137" i="17"/>
  <c r="J126" i="17"/>
  <c r="E126" i="17"/>
  <c r="I152" i="17"/>
  <c r="I145" i="17"/>
  <c r="I133" i="17"/>
  <c r="I146" i="17"/>
  <c r="I125" i="17"/>
  <c r="I169" i="17"/>
  <c r="I160" i="17"/>
  <c r="I166" i="17"/>
  <c r="E133" i="17"/>
  <c r="J133" i="17"/>
  <c r="A203" i="17"/>
  <c r="A210" i="17"/>
  <c r="A217" i="17"/>
  <c r="A190" i="17"/>
  <c r="A175" i="17"/>
  <c r="A194" i="17"/>
  <c r="A201" i="17"/>
  <c r="A204" i="17"/>
  <c r="A196" i="17"/>
  <c r="A182" i="17"/>
  <c r="A221" i="17"/>
  <c r="A195" i="17"/>
  <c r="A228" i="17"/>
  <c r="A181" i="17"/>
  <c r="A219" i="17"/>
  <c r="A177" i="17"/>
  <c r="A183" i="17"/>
  <c r="A199" i="17"/>
  <c r="A184" i="17"/>
  <c r="A216" i="17"/>
  <c r="A213" i="17"/>
  <c r="A202" i="17"/>
  <c r="A227" i="17"/>
  <c r="A225" i="17"/>
  <c r="A188" i="17"/>
  <c r="A223" i="17"/>
  <c r="A198" i="17"/>
  <c r="A189" i="17"/>
  <c r="A208" i="17"/>
  <c r="A200" i="17"/>
  <c r="A179" i="17"/>
  <c r="A212" i="17"/>
  <c r="A207" i="17"/>
  <c r="A218" i="17"/>
  <c r="A187" i="17"/>
  <c r="A220" i="17"/>
  <c r="A180" i="17"/>
  <c r="A206" i="17"/>
  <c r="A211" i="17"/>
  <c r="A197" i="17"/>
  <c r="A222" i="17"/>
  <c r="A191" i="17"/>
  <c r="A215" i="17"/>
  <c r="A214" i="17"/>
  <c r="A186" i="17"/>
  <c r="A178" i="17"/>
  <c r="A209" i="17"/>
  <c r="A192" i="17"/>
  <c r="A193" i="17"/>
  <c r="A226" i="17"/>
  <c r="A185" i="17"/>
  <c r="A205" i="17"/>
  <c r="A224" i="17"/>
  <c r="E173" i="17"/>
  <c r="J173" i="17"/>
  <c r="I173" i="17"/>
  <c r="H175" i="17" s="1"/>
  <c r="F175" i="17"/>
  <c r="A126" i="13"/>
  <c r="H124" i="13"/>
  <c r="I124" i="13"/>
  <c r="D124" i="13"/>
  <c r="K230" i="17"/>
  <c r="H177" i="17"/>
  <c r="F205" i="17"/>
  <c r="C220" i="17"/>
  <c r="G203" i="17"/>
  <c r="B222" i="17"/>
  <c r="H198" i="17"/>
  <c r="B187" i="17"/>
  <c r="F221" i="17"/>
  <c r="D190" i="17"/>
  <c r="B192" i="17"/>
  <c r="C183" i="17"/>
  <c r="F209" i="17"/>
  <c r="G228" i="17"/>
  <c r="F225" i="17"/>
  <c r="B217" i="17"/>
  <c r="G186" i="17"/>
  <c r="F197" i="17"/>
  <c r="G189" i="17"/>
  <c r="C208" i="17"/>
  <c r="H224" i="17"/>
  <c r="A266" i="17" l="1"/>
  <c r="A299" i="17"/>
  <c r="A285" i="17"/>
  <c r="A293" i="17"/>
  <c r="A296" i="17"/>
  <c r="A259" i="17"/>
  <c r="A242" i="17"/>
  <c r="A278" i="17"/>
  <c r="A251" i="17"/>
  <c r="A279" i="17"/>
  <c r="A232" i="17"/>
  <c r="A297" i="17"/>
  <c r="A267" i="17"/>
  <c r="A271" i="17"/>
  <c r="A309" i="17"/>
  <c r="A305" i="17"/>
  <c r="A257" i="17"/>
  <c r="A237" i="17"/>
  <c r="A233" i="17"/>
  <c r="A230" i="17"/>
  <c r="A245" i="17"/>
  <c r="A301" i="17"/>
  <c r="A253" i="17"/>
  <c r="A236" i="17"/>
  <c r="A276" i="17"/>
  <c r="A250" i="17"/>
  <c r="A264" i="17"/>
  <c r="A284" i="17"/>
  <c r="A239" i="17"/>
  <c r="A286" i="17"/>
  <c r="A240" i="17"/>
  <c r="A235" i="17"/>
  <c r="A287" i="17"/>
  <c r="A258" i="17"/>
  <c r="A234" i="17"/>
  <c r="A273" i="17"/>
  <c r="A255" i="17"/>
  <c r="A275" i="17"/>
  <c r="A263" i="17"/>
  <c r="A307" i="17"/>
  <c r="A292" i="17"/>
  <c r="A238" i="17"/>
  <c r="A303" i="17"/>
  <c r="A265" i="17"/>
  <c r="A261" i="17"/>
  <c r="A308" i="17"/>
  <c r="A256" i="17"/>
  <c r="A300" i="17"/>
  <c r="A281" i="17"/>
  <c r="A282" i="17"/>
  <c r="A274" i="17"/>
  <c r="A243" i="17"/>
  <c r="A302" i="17"/>
  <c r="A254" i="17"/>
  <c r="A272" i="17"/>
  <c r="A260" i="17"/>
  <c r="A262" i="17"/>
  <c r="A252" i="17"/>
  <c r="A298" i="17"/>
  <c r="A246" i="17"/>
  <c r="A283" i="17"/>
  <c r="A244" i="17"/>
  <c r="A288" i="17"/>
  <c r="A280" i="17"/>
  <c r="A277" i="17"/>
  <c r="A295" i="17"/>
  <c r="A306" i="17"/>
  <c r="A294" i="17"/>
  <c r="A241" i="17"/>
  <c r="A304" i="17"/>
  <c r="E222" i="17"/>
  <c r="J222" i="17"/>
  <c r="E192" i="17"/>
  <c r="J192" i="17"/>
  <c r="J187" i="17"/>
  <c r="E187" i="17"/>
  <c r="J217" i="17"/>
  <c r="E217" i="17"/>
  <c r="D296" i="17"/>
  <c r="D260" i="17"/>
  <c r="G234" i="17"/>
  <c r="D259" i="17"/>
  <c r="F239" i="17"/>
  <c r="F282" i="17"/>
  <c r="D234" i="17"/>
  <c r="B274" i="17"/>
  <c r="B271" i="17"/>
  <c r="H193" i="17"/>
  <c r="C233" i="17"/>
  <c r="F286" i="17"/>
  <c r="G237" i="17"/>
  <c r="H199" i="17"/>
  <c r="B286" i="17"/>
  <c r="C187" i="17"/>
  <c r="F193" i="17"/>
  <c r="B263" i="17"/>
  <c r="F267" i="17"/>
  <c r="D265" i="17"/>
  <c r="C207" i="17"/>
  <c r="F182" i="17"/>
  <c r="F306" i="17"/>
  <c r="G183" i="17"/>
  <c r="H184" i="17"/>
  <c r="G195" i="17"/>
  <c r="D267" i="17"/>
  <c r="B306" i="17"/>
  <c r="D184" i="17"/>
  <c r="C216" i="17"/>
  <c r="D250" i="17"/>
  <c r="F207" i="17"/>
  <c r="G177" i="17"/>
  <c r="F287" i="17"/>
  <c r="G256" i="17"/>
  <c r="F308" i="17"/>
  <c r="H260" i="17"/>
  <c r="B266" i="17"/>
  <c r="D205" i="17"/>
  <c r="C223" i="17"/>
  <c r="F237" i="17"/>
  <c r="D280" i="17"/>
  <c r="H254" i="17"/>
  <c r="F125" i="13"/>
  <c r="B190" i="17"/>
  <c r="D297" i="17"/>
  <c r="G299" i="17"/>
  <c r="H255" i="17"/>
  <c r="C215" i="17"/>
  <c r="F233" i="17"/>
  <c r="H263" i="17"/>
  <c r="H215" i="17"/>
  <c r="F255" i="17"/>
  <c r="H197" i="17"/>
  <c r="D309" i="17"/>
  <c r="C251" i="17"/>
  <c r="G233" i="17"/>
  <c r="B253" i="17"/>
  <c r="D242" i="17"/>
  <c r="G226" i="17"/>
  <c r="D254" i="17"/>
  <c r="D299" i="17"/>
  <c r="F300" i="17"/>
  <c r="C232" i="17"/>
  <c r="C286" i="17"/>
  <c r="C280" i="17"/>
  <c r="G225" i="17"/>
  <c r="B235" i="17"/>
  <c r="C189" i="17"/>
  <c r="G192" i="17"/>
  <c r="B177" i="17"/>
  <c r="C283" i="17"/>
  <c r="B255" i="17"/>
  <c r="D279" i="17"/>
  <c r="G125" i="13"/>
  <c r="G260" i="17"/>
  <c r="B252" i="17"/>
  <c r="H287" i="17"/>
  <c r="F206" i="17"/>
  <c r="B194" i="17"/>
  <c r="G239" i="17"/>
  <c r="F251" i="17"/>
  <c r="B180" i="17"/>
  <c r="D228" i="17"/>
  <c r="H180" i="17"/>
  <c r="H245" i="17"/>
  <c r="B225" i="17"/>
  <c r="D295" i="17"/>
  <c r="B295" i="17"/>
  <c r="F219" i="17"/>
  <c r="F307" i="17"/>
  <c r="G204" i="17"/>
  <c r="F189" i="17"/>
  <c r="B193" i="17"/>
  <c r="B224" i="17"/>
  <c r="C261" i="17"/>
  <c r="G279" i="17"/>
  <c r="F210" i="17"/>
  <c r="H186" i="17"/>
  <c r="C222" i="17"/>
  <c r="C303" i="17"/>
  <c r="D284" i="17"/>
  <c r="B242" i="17"/>
  <c r="B183" i="17"/>
  <c r="H183" i="17"/>
  <c r="H223" i="17"/>
  <c r="H253" i="17"/>
  <c r="H275" i="17"/>
  <c r="G180" i="17"/>
  <c r="G273" i="17"/>
  <c r="B206" i="17"/>
  <c r="C288" i="17"/>
  <c r="F178" i="17"/>
  <c r="F254" i="17"/>
  <c r="G296" i="17"/>
  <c r="F303" i="17"/>
  <c r="D251" i="17"/>
  <c r="C225" i="17"/>
  <c r="B203" i="17"/>
  <c r="D238" i="17"/>
  <c r="G184" i="17"/>
  <c r="F272" i="17"/>
  <c r="D179" i="17"/>
  <c r="J127" i="13"/>
  <c r="G301" i="17"/>
  <c r="B309" i="17"/>
  <c r="D210" i="17"/>
  <c r="G257" i="17"/>
  <c r="B178" i="17"/>
  <c r="D257" i="17"/>
  <c r="H285" i="17"/>
  <c r="G232" i="17"/>
  <c r="H188" i="17"/>
  <c r="B299" i="17"/>
  <c r="G126" i="13"/>
  <c r="F203" i="17"/>
  <c r="G288" i="17"/>
  <c r="G185" i="17"/>
  <c r="G240" i="17"/>
  <c r="C201" i="17"/>
  <c r="H243" i="17"/>
  <c r="F246" i="17"/>
  <c r="B307" i="17"/>
  <c r="C250" i="17"/>
  <c r="F258" i="17"/>
  <c r="H189" i="17"/>
  <c r="C306" i="17"/>
  <c r="F256" i="17"/>
  <c r="B200" i="17"/>
  <c r="C191" i="17"/>
  <c r="G271" i="17"/>
  <c r="H294" i="17"/>
  <c r="B308" i="17"/>
  <c r="D308" i="17"/>
  <c r="F232" i="17"/>
  <c r="B237" i="17"/>
  <c r="C242" i="17"/>
  <c r="C255" i="17"/>
  <c r="D203" i="17"/>
  <c r="G235" i="17"/>
  <c r="G309" i="17"/>
  <c r="D213" i="17"/>
  <c r="B218" i="17"/>
  <c r="G276" i="17"/>
  <c r="D218" i="17"/>
  <c r="F298" i="17"/>
  <c r="G182" i="17"/>
  <c r="D232" i="17"/>
  <c r="C240" i="17"/>
  <c r="G292" i="17"/>
  <c r="F242" i="17"/>
  <c r="D199" i="17"/>
  <c r="G267" i="17"/>
  <c r="C214" i="17"/>
  <c r="B191" i="17"/>
  <c r="H210" i="17"/>
  <c r="H244" i="17"/>
  <c r="D282" i="17"/>
  <c r="D191" i="17"/>
  <c r="C196" i="17"/>
  <c r="H306" i="17"/>
  <c r="B219" i="17"/>
  <c r="B260" i="17"/>
  <c r="G218" i="17"/>
  <c r="G252" i="17"/>
  <c r="B232" i="17"/>
  <c r="C193" i="17"/>
  <c r="G293" i="17"/>
  <c r="D182" i="17"/>
  <c r="H200" i="17"/>
  <c r="D264" i="17"/>
  <c r="H305" i="17"/>
  <c r="C272" i="17"/>
  <c r="H219" i="17"/>
  <c r="H233" i="17"/>
  <c r="F266" i="17"/>
  <c r="F126" i="13"/>
  <c r="G300" i="17"/>
  <c r="D256" i="17"/>
  <c r="C188" i="17"/>
  <c r="G210" i="17"/>
  <c r="B254" i="17"/>
  <c r="F296" i="17"/>
  <c r="H307" i="17"/>
  <c r="B196" i="17"/>
  <c r="H276" i="17"/>
  <c r="H216" i="17"/>
  <c r="H251" i="17"/>
  <c r="F181" i="17"/>
  <c r="G255" i="17"/>
  <c r="C202" i="17"/>
  <c r="F188" i="17"/>
  <c r="C278" i="17"/>
  <c r="C212" i="17"/>
  <c r="H272" i="17"/>
  <c r="D212" i="17"/>
  <c r="C236" i="17"/>
  <c r="C297" i="17"/>
  <c r="G238" i="17"/>
  <c r="F191" i="17"/>
  <c r="F202" i="17"/>
  <c r="F184" i="17"/>
  <c r="D223" i="17"/>
  <c r="B243" i="17"/>
  <c r="H235" i="17"/>
  <c r="C125" i="13"/>
  <c r="D286" i="17"/>
  <c r="B189" i="17"/>
  <c r="F285" i="17"/>
  <c r="D245" i="17"/>
  <c r="H284" i="17"/>
  <c r="G191" i="17"/>
  <c r="H185" i="17"/>
  <c r="H220" i="17"/>
  <c r="C294" i="17"/>
  <c r="B199" i="17"/>
  <c r="H265" i="17"/>
  <c r="H232" i="17"/>
  <c r="F278" i="17"/>
  <c r="H308" i="17"/>
  <c r="B273" i="17"/>
  <c r="H192" i="17"/>
  <c r="B226" i="17"/>
  <c r="G265" i="17"/>
  <c r="D273" i="17"/>
  <c r="G278" i="17"/>
  <c r="G202" i="17"/>
  <c r="B181" i="17"/>
  <c r="H234" i="17"/>
  <c r="F224" i="17"/>
  <c r="D278" i="17"/>
  <c r="B293" i="17"/>
  <c r="C266" i="17"/>
  <c r="F223" i="17"/>
  <c r="C273" i="17"/>
  <c r="D219" i="17"/>
  <c r="B296" i="17"/>
  <c r="F211" i="17"/>
  <c r="H286" i="17"/>
  <c r="C239" i="17"/>
  <c r="H178" i="17"/>
  <c r="D281" i="17"/>
  <c r="B285" i="17"/>
  <c r="G222" i="17"/>
  <c r="B188" i="17"/>
  <c r="H203" i="17"/>
  <c r="B284" i="17"/>
  <c r="H205" i="17"/>
  <c r="B220" i="17"/>
  <c r="C238" i="17"/>
  <c r="C194" i="17"/>
  <c r="B300" i="17"/>
  <c r="H238" i="17"/>
  <c r="D274" i="17"/>
  <c r="G282" i="17"/>
  <c r="C301" i="17"/>
  <c r="F218" i="17"/>
  <c r="D178" i="17"/>
  <c r="G275" i="17"/>
  <c r="B272" i="17"/>
  <c r="H271" i="17"/>
  <c r="C293" i="17"/>
  <c r="B245" i="17"/>
  <c r="C282" i="17"/>
  <c r="B227" i="17"/>
  <c r="H309" i="17"/>
  <c r="B251" i="17"/>
  <c r="D198" i="17"/>
  <c r="H267" i="17"/>
  <c r="B303" i="17"/>
  <c r="F279" i="17"/>
  <c r="D255" i="17"/>
  <c r="C211" i="17"/>
  <c r="C246" i="17"/>
  <c r="D303" i="17"/>
  <c r="B233" i="17"/>
  <c r="G261" i="17"/>
  <c r="F261" i="17"/>
  <c r="B236" i="17"/>
  <c r="B256" i="17"/>
  <c r="D241" i="17"/>
  <c r="C126" i="13"/>
  <c r="B264" i="17"/>
  <c r="G211" i="17"/>
  <c r="B276" i="17"/>
  <c r="B213" i="17"/>
  <c r="C299" i="17"/>
  <c r="H227" i="17"/>
  <c r="F216" i="17"/>
  <c r="G274" i="17"/>
  <c r="H196" i="17"/>
  <c r="F235" i="17"/>
  <c r="G264" i="17"/>
  <c r="G297" i="17"/>
  <c r="C260" i="17"/>
  <c r="B282" i="17"/>
  <c r="C256" i="17"/>
  <c r="H204" i="17"/>
  <c r="F301" i="17"/>
  <c r="C181" i="17"/>
  <c r="G187" i="17"/>
  <c r="G236" i="17"/>
  <c r="D292" i="17"/>
  <c r="B182" i="17"/>
  <c r="H222" i="17"/>
  <c r="C259" i="17"/>
  <c r="B267" i="17"/>
  <c r="B258" i="17"/>
  <c r="D188" i="17"/>
  <c r="H261" i="17"/>
  <c r="G221" i="17"/>
  <c r="C179" i="17"/>
  <c r="D214" i="17"/>
  <c r="C285" i="17"/>
  <c r="G253" i="17"/>
  <c r="D181" i="17"/>
  <c r="G179" i="17"/>
  <c r="C218" i="17"/>
  <c r="F271" i="17"/>
  <c r="F186" i="17"/>
  <c r="H179" i="17"/>
  <c r="C298" i="17"/>
  <c r="H282" i="17"/>
  <c r="C275" i="17"/>
  <c r="G250" i="17"/>
  <c r="H236" i="17"/>
  <c r="F204" i="17"/>
  <c r="D186" i="17"/>
  <c r="B301" i="17"/>
  <c r="D239" i="17"/>
  <c r="B278" i="17"/>
  <c r="D183" i="17"/>
  <c r="G200" i="17"/>
  <c r="D276" i="17"/>
  <c r="D185" i="17"/>
  <c r="B195" i="17"/>
  <c r="C258" i="17"/>
  <c r="D271" i="17"/>
  <c r="C235" i="17"/>
  <c r="D180" i="17"/>
  <c r="G263" i="17"/>
  <c r="C300" i="17"/>
  <c r="G258" i="17"/>
  <c r="F305" i="17"/>
  <c r="C234" i="17"/>
  <c r="C199" i="17"/>
  <c r="H256" i="17"/>
  <c r="F253" i="17"/>
  <c r="C224" i="17"/>
  <c r="D246" i="17"/>
  <c r="B238" i="17"/>
  <c r="G220" i="17"/>
  <c r="G215" i="17"/>
  <c r="F212" i="17"/>
  <c r="F187" i="17"/>
  <c r="F293" i="17"/>
  <c r="H280" i="17"/>
  <c r="B223" i="17"/>
  <c r="D283" i="17"/>
  <c r="C274" i="17"/>
  <c r="H259" i="17"/>
  <c r="F208" i="17"/>
  <c r="D215" i="17"/>
  <c r="H191" i="17"/>
  <c r="H218" i="17"/>
  <c r="G214" i="17"/>
  <c r="H195" i="17"/>
  <c r="F196" i="17"/>
  <c r="C267" i="17"/>
  <c r="D217" i="17"/>
  <c r="F183" i="17"/>
  <c r="F276" i="17"/>
  <c r="G207" i="17"/>
  <c r="B197" i="17"/>
  <c r="B179" i="17"/>
  <c r="C276" i="17"/>
  <c r="H288" i="17"/>
  <c r="G219" i="17"/>
  <c r="C308" i="17"/>
  <c r="F195" i="17"/>
  <c r="H274" i="17"/>
  <c r="G198" i="17"/>
  <c r="D226" i="17"/>
  <c r="F222" i="17"/>
  <c r="H303" i="17"/>
  <c r="G190" i="17"/>
  <c r="H250" i="17"/>
  <c r="B125" i="13"/>
  <c r="D225" i="17"/>
  <c r="B240" i="17"/>
  <c r="H194" i="17"/>
  <c r="D197" i="17"/>
  <c r="B234" i="17"/>
  <c r="D204" i="17"/>
  <c r="D216" i="17"/>
  <c r="G212" i="17"/>
  <c r="D300" i="17"/>
  <c r="H217" i="17"/>
  <c r="C217" i="17"/>
  <c r="G306" i="17"/>
  <c r="C253" i="17"/>
  <c r="D253" i="17"/>
  <c r="D189" i="17"/>
  <c r="G208" i="17"/>
  <c r="H181" i="17"/>
  <c r="D222" i="17"/>
  <c r="D301" i="17"/>
  <c r="H293" i="17"/>
  <c r="B292" i="17"/>
  <c r="F288" i="17"/>
  <c r="C204" i="17"/>
  <c r="G294" i="17"/>
  <c r="C226" i="17"/>
  <c r="H299" i="17"/>
  <c r="B184" i="17"/>
  <c r="B246" i="17"/>
  <c r="D195" i="17"/>
  <c r="G245" i="17"/>
  <c r="C245" i="17"/>
  <c r="F309" i="17"/>
  <c r="F243" i="17"/>
  <c r="G194" i="17"/>
  <c r="C254" i="17"/>
  <c r="G213" i="17"/>
  <c r="H214" i="17"/>
  <c r="C264" i="17"/>
  <c r="D220" i="17"/>
  <c r="F259" i="17"/>
  <c r="D262" i="17"/>
  <c r="H281" i="17"/>
  <c r="G280" i="17"/>
  <c r="H246" i="17"/>
  <c r="F214" i="17"/>
  <c r="C292" i="17"/>
  <c r="B250" i="17"/>
  <c r="B207" i="17"/>
  <c r="D209" i="17"/>
  <c r="F297" i="17"/>
  <c r="F194" i="17"/>
  <c r="H279" i="17"/>
  <c r="G216" i="17"/>
  <c r="D287" i="17"/>
  <c r="D306" i="17"/>
  <c r="D235" i="17"/>
  <c r="F263" i="17"/>
  <c r="D266" i="17"/>
  <c r="C305" i="17"/>
  <c r="C263" i="17"/>
  <c r="E125" i="13"/>
  <c r="H273" i="17"/>
  <c r="B205" i="17"/>
  <c r="C309" i="17"/>
  <c r="H264" i="17"/>
  <c r="F234" i="17"/>
  <c r="B275" i="17"/>
  <c r="F264" i="17"/>
  <c r="G178" i="17"/>
  <c r="E126" i="13"/>
  <c r="C203" i="17"/>
  <c r="H209" i="17"/>
  <c r="C243" i="17"/>
  <c r="H182" i="17"/>
  <c r="D187" i="17"/>
  <c r="G259" i="17"/>
  <c r="G266" i="17"/>
  <c r="F179" i="17"/>
  <c r="C192" i="17"/>
  <c r="F273" i="17"/>
  <c r="B279" i="17"/>
  <c r="D177" i="17"/>
  <c r="D206" i="17"/>
  <c r="D227" i="17"/>
  <c r="B277" i="17"/>
  <c r="G304" i="17"/>
  <c r="G281" i="17"/>
  <c r="D305" i="17"/>
  <c r="D298" i="17"/>
  <c r="H297" i="17"/>
  <c r="H292" i="17"/>
  <c r="D224" i="17"/>
  <c r="H213" i="17"/>
  <c r="B198" i="17"/>
  <c r="D272" i="17"/>
  <c r="D211" i="17"/>
  <c r="F220" i="17"/>
  <c r="G227" i="17"/>
  <c r="F252" i="17"/>
  <c r="C227" i="17"/>
  <c r="B212" i="17"/>
  <c r="H201" i="17"/>
  <c r="H225" i="17"/>
  <c r="B294" i="17"/>
  <c r="B259" i="17"/>
  <c r="B209" i="17"/>
  <c r="G272" i="17"/>
  <c r="C237" i="17"/>
  <c r="F260" i="17"/>
  <c r="F284" i="17"/>
  <c r="B298" i="17"/>
  <c r="B215" i="17"/>
  <c r="G193" i="17"/>
  <c r="F198" i="17"/>
  <c r="D208" i="17"/>
  <c r="F275" i="17"/>
  <c r="C296" i="17"/>
  <c r="H207" i="17"/>
  <c r="B297" i="17"/>
  <c r="H239" i="17"/>
  <c r="F236" i="17"/>
  <c r="D233" i="17"/>
  <c r="D221" i="17"/>
  <c r="C185" i="17"/>
  <c r="D194" i="17"/>
  <c r="C257" i="17"/>
  <c r="H242" i="17"/>
  <c r="G307" i="17"/>
  <c r="D192" i="17"/>
  <c r="C190" i="17"/>
  <c r="B208" i="17"/>
  <c r="F240" i="17"/>
  <c r="D275" i="17"/>
  <c r="B214" i="17"/>
  <c r="F192" i="17"/>
  <c r="G246" i="17"/>
  <c r="D263" i="17"/>
  <c r="C198" i="17"/>
  <c r="B201" i="17"/>
  <c r="G199" i="17"/>
  <c r="H301" i="17"/>
  <c r="H296" i="17"/>
  <c r="G188" i="17"/>
  <c r="G223" i="17"/>
  <c r="F294" i="17"/>
  <c r="H190" i="17"/>
  <c r="D288" i="17"/>
  <c r="C197" i="17"/>
  <c r="C277" i="17"/>
  <c r="F257" i="17"/>
  <c r="F199" i="17"/>
  <c r="B185" i="17"/>
  <c r="D202" i="17"/>
  <c r="B302" i="17"/>
  <c r="B216" i="17"/>
  <c r="C210" i="17"/>
  <c r="G295" i="17"/>
  <c r="H266" i="17"/>
  <c r="B244" i="17"/>
  <c r="F280" i="17"/>
  <c r="F299" i="17"/>
  <c r="B281" i="17"/>
  <c r="D304" i="17"/>
  <c r="D196" i="17"/>
  <c r="C287" i="17"/>
  <c r="H241" i="17"/>
  <c r="G196" i="17"/>
  <c r="H211" i="17"/>
  <c r="H187" i="17"/>
  <c r="C186" i="17"/>
  <c r="G217" i="17"/>
  <c r="G254" i="17"/>
  <c r="B210" i="17"/>
  <c r="G181" i="17"/>
  <c r="F177" i="17"/>
  <c r="H226" i="17"/>
  <c r="B126" i="13"/>
  <c r="F215" i="17"/>
  <c r="C178" i="17"/>
  <c r="G305" i="17"/>
  <c r="D294" i="17"/>
  <c r="B287" i="17"/>
  <c r="C221" i="17"/>
  <c r="H212" i="17"/>
  <c r="H202" i="17"/>
  <c r="D307" i="17"/>
  <c r="F245" i="17"/>
  <c r="D258" i="17"/>
  <c r="B288" i="17"/>
  <c r="F190" i="17"/>
  <c r="H298" i="17"/>
  <c r="F201" i="17"/>
  <c r="G197" i="17"/>
  <c r="B305" i="17"/>
  <c r="B239" i="17"/>
  <c r="C180" i="17"/>
  <c r="C279" i="17"/>
  <c r="D285" i="17"/>
  <c r="F217" i="17"/>
  <c r="F227" i="17"/>
  <c r="F265" i="17"/>
  <c r="G242" i="17"/>
  <c r="B257" i="17"/>
  <c r="H302" i="17"/>
  <c r="C205" i="17"/>
  <c r="G201" i="17"/>
  <c r="B265" i="17"/>
  <c r="H208" i="17"/>
  <c r="C200" i="17"/>
  <c r="F274" i="17"/>
  <c r="F226" i="17"/>
  <c r="C252" i="17"/>
  <c r="B186" i="17"/>
  <c r="C281" i="17"/>
  <c r="C177" i="17"/>
  <c r="F238" i="17"/>
  <c r="G209" i="17"/>
  <c r="B280" i="17"/>
  <c r="C195" i="17"/>
  <c r="G251" i="17"/>
  <c r="D244" i="17"/>
  <c r="H278" i="17"/>
  <c r="D243" i="17"/>
  <c r="H237" i="17"/>
  <c r="B204" i="17"/>
  <c r="D293" i="17"/>
  <c r="F292" i="17"/>
  <c r="C184" i="17"/>
  <c r="B211" i="17"/>
  <c r="H258" i="17"/>
  <c r="G224" i="17"/>
  <c r="B228" i="17"/>
  <c r="C228" i="17"/>
  <c r="H300" i="17"/>
  <c r="F200" i="17"/>
  <c r="C307" i="17"/>
  <c r="D237" i="17"/>
  <c r="C213" i="17"/>
  <c r="B221" i="17"/>
  <c r="C302" i="17"/>
  <c r="G285" i="17"/>
  <c r="B202" i="17"/>
  <c r="G205" i="17"/>
  <c r="C219" i="17"/>
  <c r="G284" i="17"/>
  <c r="D200" i="17"/>
  <c r="H206" i="17"/>
  <c r="G243" i="17"/>
  <c r="C209" i="17"/>
  <c r="D207" i="17"/>
  <c r="G298" i="17"/>
  <c r="G287" i="17"/>
  <c r="H252" i="17"/>
  <c r="H240" i="17"/>
  <c r="C271" i="17"/>
  <c r="D193" i="17"/>
  <c r="H228" i="17"/>
  <c r="C182" i="17"/>
  <c r="G286" i="17"/>
  <c r="G303" i="17"/>
  <c r="H221" i="17"/>
  <c r="H257" i="17"/>
  <c r="F185" i="17"/>
  <c r="C206" i="17"/>
  <c r="D240" i="17"/>
  <c r="D201" i="17"/>
  <c r="F250" i="17"/>
  <c r="C284" i="17"/>
  <c r="G206" i="17"/>
  <c r="D236" i="17"/>
  <c r="F180" i="17"/>
  <c r="G244" i="17"/>
  <c r="H283" i="17"/>
  <c r="F213" i="17"/>
  <c r="D252" i="17"/>
  <c r="G308" i="17"/>
  <c r="C265" i="17"/>
  <c r="F228" i="17"/>
  <c r="J256" i="17" l="1"/>
  <c r="E256" i="17"/>
  <c r="E254" i="17"/>
  <c r="J254" i="17"/>
  <c r="J221" i="17"/>
  <c r="E221" i="17"/>
  <c r="J179" i="17"/>
  <c r="E179" i="17"/>
  <c r="J258" i="17"/>
  <c r="E258" i="17"/>
  <c r="I212" i="17"/>
  <c r="I209" i="17"/>
  <c r="I210" i="17"/>
  <c r="E236" i="17"/>
  <c r="J236" i="17"/>
  <c r="I227" i="17"/>
  <c r="I213" i="17"/>
  <c r="J197" i="17"/>
  <c r="E197" i="17"/>
  <c r="E267" i="17"/>
  <c r="J267" i="17"/>
  <c r="E297" i="17"/>
  <c r="J297" i="17"/>
  <c r="I192" i="17"/>
  <c r="I253" i="17"/>
  <c r="J223" i="17"/>
  <c r="E223" i="17"/>
  <c r="E281" i="17"/>
  <c r="J281" i="17"/>
  <c r="I261" i="17"/>
  <c r="I194" i="17"/>
  <c r="E235" i="17"/>
  <c r="J235" i="17"/>
  <c r="I186" i="17"/>
  <c r="I207" i="17"/>
  <c r="E244" i="17"/>
  <c r="J244" i="17"/>
  <c r="J279" i="17"/>
  <c r="E279" i="17"/>
  <c r="I182" i="17"/>
  <c r="E234" i="17"/>
  <c r="J234" i="17"/>
  <c r="I225" i="17"/>
  <c r="I300" i="17"/>
  <c r="J216" i="17"/>
  <c r="E216" i="17"/>
  <c r="J233" i="17"/>
  <c r="E233" i="17"/>
  <c r="J182" i="17"/>
  <c r="E182" i="17"/>
  <c r="H126" i="13"/>
  <c r="I280" i="17"/>
  <c r="I223" i="17"/>
  <c r="I279" i="17"/>
  <c r="I282" i="17"/>
  <c r="I179" i="17"/>
  <c r="E243" i="17"/>
  <c r="J243" i="17"/>
  <c r="I276" i="17"/>
  <c r="I188" i="17"/>
  <c r="E250" i="17"/>
  <c r="J250" i="17"/>
  <c r="I308" i="17"/>
  <c r="I236" i="17"/>
  <c r="J218" i="17"/>
  <c r="E218" i="17"/>
  <c r="J276" i="17"/>
  <c r="E276" i="17"/>
  <c r="E224" i="17"/>
  <c r="J224" i="17"/>
  <c r="I245" i="17"/>
  <c r="I187" i="17"/>
  <c r="I244" i="17"/>
  <c r="I303" i="17"/>
  <c r="E240" i="17"/>
  <c r="J240" i="17"/>
  <c r="E193" i="17"/>
  <c r="J193" i="17"/>
  <c r="I309" i="17"/>
  <c r="J186" i="17"/>
  <c r="E186" i="17"/>
  <c r="J228" i="17"/>
  <c r="E228" i="17"/>
  <c r="E198" i="17"/>
  <c r="J198" i="17"/>
  <c r="J188" i="17"/>
  <c r="E188" i="17"/>
  <c r="E296" i="17"/>
  <c r="J296" i="17"/>
  <c r="I286" i="17"/>
  <c r="I193" i="17"/>
  <c r="I235" i="17"/>
  <c r="I219" i="17"/>
  <c r="I199" i="17"/>
  <c r="I226" i="17"/>
  <c r="E205" i="17"/>
  <c r="J205" i="17"/>
  <c r="E246" i="17"/>
  <c r="J246" i="17"/>
  <c r="I266" i="17"/>
  <c r="I215" i="17"/>
  <c r="I204" i="17"/>
  <c r="E201" i="17"/>
  <c r="J201" i="17"/>
  <c r="I224" i="17"/>
  <c r="J253" i="17"/>
  <c r="E253" i="17"/>
  <c r="I211" i="17"/>
  <c r="E239" i="17"/>
  <c r="J239" i="17"/>
  <c r="J215" i="17"/>
  <c r="E215" i="17"/>
  <c r="I259" i="17"/>
  <c r="J178" i="17"/>
  <c r="E178" i="17"/>
  <c r="I260" i="17"/>
  <c r="E184" i="17"/>
  <c r="J184" i="17"/>
  <c r="D125" i="13"/>
  <c r="I125" i="13"/>
  <c r="I233" i="17"/>
  <c r="I220" i="17"/>
  <c r="E273" i="17"/>
  <c r="J273" i="17"/>
  <c r="I238" i="17"/>
  <c r="I257" i="17"/>
  <c r="I251" i="17"/>
  <c r="J252" i="17"/>
  <c r="E252" i="17"/>
  <c r="E306" i="17"/>
  <c r="J306" i="17"/>
  <c r="I228" i="17"/>
  <c r="J237" i="17"/>
  <c r="E237" i="17"/>
  <c r="I305" i="17"/>
  <c r="I205" i="17"/>
  <c r="J305" i="17"/>
  <c r="E305" i="17"/>
  <c r="J300" i="17"/>
  <c r="E300" i="17"/>
  <c r="E196" i="17"/>
  <c r="J196" i="17"/>
  <c r="J298" i="17"/>
  <c r="E298" i="17"/>
  <c r="E238" i="17"/>
  <c r="J238" i="17"/>
  <c r="J309" i="17"/>
  <c r="E309" i="17"/>
  <c r="I195" i="17"/>
  <c r="J212" i="17"/>
  <c r="E212" i="17"/>
  <c r="J303" i="17"/>
  <c r="E303" i="17"/>
  <c r="I292" i="17"/>
  <c r="I301" i="17"/>
  <c r="J185" i="17"/>
  <c r="E185" i="17"/>
  <c r="I197" i="17"/>
  <c r="E282" i="17"/>
  <c r="J282" i="17"/>
  <c r="E211" i="17"/>
  <c r="J211" i="17"/>
  <c r="J195" i="17"/>
  <c r="E195" i="17"/>
  <c r="J295" i="17"/>
  <c r="E295" i="17"/>
  <c r="J277" i="17"/>
  <c r="E277" i="17"/>
  <c r="E308" i="17"/>
  <c r="J308" i="17"/>
  <c r="A127" i="13"/>
  <c r="I306" i="17"/>
  <c r="I183" i="17"/>
  <c r="J302" i="17"/>
  <c r="E302" i="17"/>
  <c r="I246" i="17"/>
  <c r="I293" i="17"/>
  <c r="I294" i="17"/>
  <c r="I190" i="17"/>
  <c r="J191" i="17"/>
  <c r="E191" i="17"/>
  <c r="I271" i="17"/>
  <c r="E264" i="17"/>
  <c r="J264" i="17"/>
  <c r="D126" i="13"/>
  <c r="I126" i="13"/>
  <c r="E272" i="17"/>
  <c r="J272" i="17"/>
  <c r="J293" i="17"/>
  <c r="E293" i="17"/>
  <c r="I184" i="17"/>
  <c r="I221" i="17"/>
  <c r="J225" i="17"/>
  <c r="E225" i="17"/>
  <c r="E202" i="17"/>
  <c r="J202" i="17"/>
  <c r="I297" i="17"/>
  <c r="E200" i="17"/>
  <c r="J200" i="17"/>
  <c r="E203" i="17"/>
  <c r="J203" i="17"/>
  <c r="E232" i="17"/>
  <c r="J232" i="17"/>
  <c r="E214" i="17"/>
  <c r="J214" i="17"/>
  <c r="I200" i="17"/>
  <c r="E199" i="17"/>
  <c r="J199" i="17"/>
  <c r="E263" i="17"/>
  <c r="J263" i="17"/>
  <c r="I264" i="17"/>
  <c r="I287" i="17"/>
  <c r="I299" i="17"/>
  <c r="I252" i="17"/>
  <c r="J292" i="17"/>
  <c r="E292" i="17"/>
  <c r="I189" i="17"/>
  <c r="J288" i="17"/>
  <c r="E288" i="17"/>
  <c r="I181" i="17"/>
  <c r="I214" i="17"/>
  <c r="I222" i="17"/>
  <c r="J251" i="17"/>
  <c r="E251" i="17"/>
  <c r="I296" i="17"/>
  <c r="E220" i="17"/>
  <c r="J220" i="17"/>
  <c r="J286" i="17"/>
  <c r="E286" i="17"/>
  <c r="I298" i="17"/>
  <c r="J278" i="17"/>
  <c r="E278" i="17"/>
  <c r="I218" i="17"/>
  <c r="E190" i="17"/>
  <c r="J190" i="17"/>
  <c r="I272" i="17"/>
  <c r="J210" i="17"/>
  <c r="E210" i="17"/>
  <c r="H125" i="13"/>
  <c r="I237" i="17"/>
  <c r="I178" i="17"/>
  <c r="J260" i="17"/>
  <c r="E260" i="17"/>
  <c r="I285" i="17"/>
  <c r="J307" i="17"/>
  <c r="E307" i="17"/>
  <c r="E208" i="17"/>
  <c r="J208" i="17"/>
  <c r="E180" i="17"/>
  <c r="J180" i="17"/>
  <c r="J204" i="17"/>
  <c r="E204" i="17"/>
  <c r="E181" i="17"/>
  <c r="J181" i="17"/>
  <c r="I254" i="17"/>
  <c r="I216" i="17"/>
  <c r="E209" i="17"/>
  <c r="J209" i="17"/>
  <c r="J206" i="17"/>
  <c r="E206" i="17"/>
  <c r="I206" i="17"/>
  <c r="I274" i="17"/>
  <c r="I198" i="17"/>
  <c r="J301" i="17"/>
  <c r="E301" i="17"/>
  <c r="E219" i="17"/>
  <c r="J219" i="17"/>
  <c r="I191" i="17"/>
  <c r="I273" i="17"/>
  <c r="E257" i="17"/>
  <c r="J257" i="17"/>
  <c r="E227" i="17"/>
  <c r="J227" i="17"/>
  <c r="I202" i="17"/>
  <c r="I217" i="17"/>
  <c r="J265" i="17"/>
  <c r="E265" i="17"/>
  <c r="I275" i="17"/>
  <c r="I180" i="17"/>
  <c r="E271" i="17"/>
  <c r="J271" i="17"/>
  <c r="E259" i="17"/>
  <c r="J259" i="17"/>
  <c r="E275" i="17"/>
  <c r="J275" i="17"/>
  <c r="I243" i="17"/>
  <c r="I255" i="17"/>
  <c r="I240" i="17"/>
  <c r="I239" i="17"/>
  <c r="J274" i="17"/>
  <c r="E274" i="17"/>
  <c r="I258" i="17"/>
  <c r="I278" i="17"/>
  <c r="I185" i="17"/>
  <c r="J284" i="17"/>
  <c r="E284" i="17"/>
  <c r="I267" i="17"/>
  <c r="E266" i="17"/>
  <c r="J266" i="17"/>
  <c r="I288" i="17"/>
  <c r="E194" i="17"/>
  <c r="J194" i="17"/>
  <c r="E255" i="17"/>
  <c r="J255" i="17"/>
  <c r="I307" i="17"/>
  <c r="E294" i="17"/>
  <c r="J294" i="17"/>
  <c r="I201" i="17"/>
  <c r="E280" i="17"/>
  <c r="J280" i="17"/>
  <c r="I281" i="17"/>
  <c r="I208" i="17"/>
  <c r="J245" i="17"/>
  <c r="E245" i="17"/>
  <c r="E183" i="17"/>
  <c r="J183" i="17"/>
  <c r="E285" i="17"/>
  <c r="J285" i="17"/>
  <c r="I256" i="17"/>
  <c r="I263" i="17"/>
  <c r="I265" i="17"/>
  <c r="E299" i="17"/>
  <c r="J299" i="17"/>
  <c r="E242" i="17"/>
  <c r="J242" i="17"/>
  <c r="I234" i="17"/>
  <c r="I250" i="17"/>
  <c r="I203" i="17"/>
  <c r="I242" i="17"/>
  <c r="J189" i="17"/>
  <c r="E189" i="17"/>
  <c r="J213" i="17"/>
  <c r="E213" i="17"/>
  <c r="F230" i="17"/>
  <c r="I177" i="17"/>
  <c r="I284" i="17"/>
  <c r="J226" i="17"/>
  <c r="E226" i="17"/>
  <c r="I196" i="17"/>
  <c r="I232" i="17"/>
  <c r="E207" i="17"/>
  <c r="J207" i="17"/>
  <c r="J177" i="17"/>
  <c r="E177" i="17"/>
  <c r="E287" i="17"/>
  <c r="J287" i="17"/>
  <c r="G283" i="17"/>
  <c r="B261" i="17"/>
  <c r="F283" i="17"/>
  <c r="H277" i="17"/>
  <c r="D302" i="17"/>
  <c r="B241" i="17"/>
  <c r="C244" i="17"/>
  <c r="B262" i="17"/>
  <c r="H262" i="17"/>
  <c r="F302" i="17"/>
  <c r="J128" i="13"/>
  <c r="F262" i="17"/>
  <c r="F277" i="17"/>
  <c r="F241" i="17"/>
  <c r="C262" i="17"/>
  <c r="C241" i="17"/>
  <c r="G302" i="17"/>
  <c r="G241" i="17"/>
  <c r="G277" i="17"/>
  <c r="D261" i="17"/>
  <c r="F281" i="17"/>
  <c r="F295" i="17"/>
  <c r="C295" i="17"/>
  <c r="D277" i="17"/>
  <c r="H295" i="17"/>
  <c r="C304" i="17"/>
  <c r="F244" i="17"/>
  <c r="B304" i="17"/>
  <c r="G262" i="17"/>
  <c r="B283" i="17"/>
  <c r="F304" i="17"/>
  <c r="H304" i="17"/>
  <c r="I304" i="17" l="1"/>
  <c r="I295" i="17"/>
  <c r="F290" i="17"/>
  <c r="I277" i="17"/>
  <c r="E261" i="17"/>
  <c r="J261" i="17"/>
  <c r="E313" i="17"/>
  <c r="I241" i="17"/>
  <c r="F248" i="17"/>
  <c r="H2" i="17"/>
  <c r="E262" i="17"/>
  <c r="J262" i="17"/>
  <c r="I302" i="17"/>
  <c r="F311" i="17"/>
  <c r="E283" i="17"/>
  <c r="J283" i="17"/>
  <c r="E241" i="17"/>
  <c r="J241" i="17"/>
  <c r="I283" i="17"/>
  <c r="H290" i="17" s="1"/>
  <c r="F269" i="17"/>
  <c r="I262" i="17"/>
  <c r="H248" i="17"/>
  <c r="H269" i="17"/>
  <c r="J304" i="17"/>
  <c r="E304" i="17"/>
  <c r="A128" i="13"/>
  <c r="H311" i="17"/>
  <c r="H230" i="17"/>
  <c r="J129" i="13"/>
  <c r="B127" i="13"/>
  <c r="C127" i="13"/>
  <c r="F127" i="13"/>
  <c r="E127" i="13"/>
  <c r="G127" i="13"/>
  <c r="J130" i="13"/>
  <c r="H313" i="17" l="1"/>
  <c r="E314" i="17" s="1"/>
  <c r="A130" i="13"/>
  <c r="A129" i="13"/>
  <c r="D127" i="13"/>
  <c r="I127" i="13"/>
  <c r="H127" i="13"/>
  <c r="J131" i="13"/>
  <c r="E128" i="13"/>
  <c r="B128" i="13"/>
  <c r="F128" i="13"/>
  <c r="C128" i="13"/>
  <c r="G128" i="13"/>
  <c r="E130" i="13"/>
  <c r="C129" i="13"/>
  <c r="A131" i="13" l="1"/>
  <c r="H128" i="13"/>
  <c r="D128" i="13"/>
  <c r="I128" i="13"/>
  <c r="J132" i="13"/>
  <c r="G130" i="13"/>
  <c r="C130" i="13"/>
  <c r="F130" i="13"/>
  <c r="E129" i="13"/>
  <c r="F129" i="13"/>
  <c r="B130" i="13"/>
  <c r="G129" i="13"/>
  <c r="B129" i="13"/>
  <c r="J133" i="13"/>
  <c r="J134" i="13"/>
  <c r="J135" i="13"/>
  <c r="A134" i="13" l="1"/>
  <c r="A133" i="13"/>
  <c r="I129" i="13"/>
  <c r="D129" i="13"/>
  <c r="D130" i="13"/>
  <c r="I130" i="13"/>
  <c r="H129" i="13"/>
  <c r="H130" i="13"/>
  <c r="A132" i="13"/>
  <c r="A135" i="13"/>
  <c r="J136" i="13"/>
  <c r="G131" i="13"/>
  <c r="B131" i="13"/>
  <c r="G134" i="13"/>
  <c r="F134" i="13"/>
  <c r="C131" i="13"/>
  <c r="J137" i="13"/>
  <c r="F131" i="13"/>
  <c r="E131" i="13"/>
  <c r="B134" i="13"/>
  <c r="H131" i="13" l="1"/>
  <c r="I131" i="13"/>
  <c r="D131" i="13"/>
  <c r="A136" i="13"/>
  <c r="H134" i="13"/>
  <c r="I134" i="13"/>
  <c r="D134" i="13"/>
  <c r="A137" i="13"/>
  <c r="C132" i="13"/>
  <c r="G132" i="13"/>
  <c r="F133" i="13"/>
  <c r="B132" i="13"/>
  <c r="C134" i="13"/>
  <c r="E133" i="13"/>
  <c r="E135" i="13"/>
  <c r="J138" i="13"/>
  <c r="B135" i="13"/>
  <c r="E134" i="13"/>
  <c r="C135" i="13"/>
  <c r="E132" i="13"/>
  <c r="G133" i="13"/>
  <c r="C133" i="13"/>
  <c r="G135" i="13"/>
  <c r="F135" i="13"/>
  <c r="F132" i="13"/>
  <c r="B133" i="13"/>
  <c r="E136" i="13"/>
  <c r="I133" i="13" l="1"/>
  <c r="D133" i="13"/>
  <c r="H132" i="13"/>
  <c r="D132" i="13"/>
  <c r="I132" i="13"/>
  <c r="H133" i="13"/>
  <c r="H135" i="13"/>
  <c r="D135" i="13"/>
  <c r="I135" i="13"/>
  <c r="A138" i="13"/>
  <c r="B136" i="13"/>
  <c r="F136" i="13"/>
  <c r="C137" i="13"/>
  <c r="C136" i="13"/>
  <c r="J139" i="13"/>
  <c r="B137" i="13"/>
  <c r="J140" i="13"/>
  <c r="G136" i="13"/>
  <c r="F137" i="13"/>
  <c r="E137" i="13"/>
  <c r="G137" i="13"/>
  <c r="H136" i="13" l="1"/>
  <c r="D136" i="13"/>
  <c r="I136" i="13"/>
  <c r="A140" i="13"/>
  <c r="A139" i="13"/>
  <c r="H137" i="13"/>
  <c r="D137" i="13"/>
  <c r="I137" i="13"/>
  <c r="F138" i="13"/>
  <c r="C138" i="13"/>
  <c r="J141" i="13"/>
  <c r="B138" i="13"/>
  <c r="E138" i="13"/>
  <c r="G138" i="13"/>
  <c r="I138" i="13" l="1"/>
  <c r="D138" i="13"/>
  <c r="H138" i="13"/>
  <c r="A141" i="13"/>
  <c r="F139" i="13"/>
  <c r="C139" i="13"/>
  <c r="C140" i="13"/>
  <c r="B139" i="13"/>
  <c r="B140" i="13"/>
  <c r="E140" i="13"/>
  <c r="F140" i="13"/>
  <c r="E139" i="13"/>
  <c r="G139" i="13"/>
  <c r="G140" i="13"/>
  <c r="J142" i="13"/>
  <c r="H140" i="13" l="1"/>
  <c r="I139" i="13"/>
  <c r="D139" i="13"/>
  <c r="A142" i="13"/>
  <c r="I140" i="13"/>
  <c r="D140" i="13"/>
  <c r="H139" i="13"/>
  <c r="E141" i="13"/>
  <c r="J143" i="13"/>
  <c r="C141" i="13"/>
  <c r="G141" i="13"/>
  <c r="B141" i="13"/>
  <c r="F141" i="13"/>
  <c r="H141" i="13" l="1"/>
  <c r="D141" i="13"/>
  <c r="I141" i="13"/>
  <c r="A143" i="13"/>
  <c r="J144" i="13"/>
  <c r="F142" i="13"/>
  <c r="B142" i="13"/>
  <c r="G142" i="13"/>
  <c r="E142" i="13"/>
  <c r="C142" i="13"/>
  <c r="J145" i="13"/>
  <c r="A144" i="13" l="1"/>
  <c r="H142" i="13"/>
  <c r="I142" i="13"/>
  <c r="D142" i="13"/>
  <c r="A145" i="13"/>
  <c r="G143" i="13"/>
  <c r="E143" i="13"/>
  <c r="C143" i="13"/>
  <c r="B143" i="13"/>
  <c r="J146" i="13"/>
  <c r="F143" i="13"/>
  <c r="E144" i="13"/>
  <c r="A146" i="13" l="1"/>
  <c r="I143" i="13"/>
  <c r="D143" i="13"/>
  <c r="H143" i="13"/>
  <c r="C144" i="13"/>
  <c r="B144" i="13"/>
  <c r="G144" i="13"/>
  <c r="E145" i="13"/>
  <c r="F144" i="13"/>
  <c r="J147" i="13"/>
  <c r="J148" i="13" s="1"/>
  <c r="C145" i="13"/>
  <c r="G145" i="13"/>
  <c r="F145" i="13"/>
  <c r="B145" i="13"/>
  <c r="H144" i="13" l="1"/>
  <c r="D144" i="13"/>
  <c r="I144" i="13"/>
  <c r="A148" i="13"/>
  <c r="D145" i="13"/>
  <c r="I145" i="13"/>
  <c r="H145" i="13"/>
  <c r="A147" i="13"/>
  <c r="J149" i="13"/>
  <c r="F146" i="13"/>
  <c r="E146" i="13"/>
  <c r="C146" i="13"/>
  <c r="G146" i="13"/>
  <c r="B146" i="13"/>
  <c r="D146" i="13" l="1"/>
  <c r="I146" i="13"/>
  <c r="H146" i="13"/>
  <c r="A149" i="13"/>
  <c r="C147" i="13"/>
  <c r="J150" i="13"/>
  <c r="F148" i="13"/>
  <c r="G147" i="13"/>
  <c r="B148" i="13"/>
  <c r="F147" i="13"/>
  <c r="E148" i="13"/>
  <c r="G148" i="13"/>
  <c r="C148" i="13"/>
  <c r="B147" i="13"/>
  <c r="E147" i="13"/>
  <c r="H148" i="13" l="1"/>
  <c r="I148" i="13"/>
  <c r="D148" i="13"/>
  <c r="A150" i="13"/>
  <c r="H147" i="13"/>
  <c r="I147" i="13"/>
  <c r="D147" i="13"/>
  <c r="C149" i="13"/>
  <c r="B149" i="13"/>
  <c r="F149" i="13"/>
  <c r="J151" i="13"/>
  <c r="E149" i="13"/>
  <c r="G149" i="13"/>
  <c r="A151" i="13" l="1"/>
  <c r="H149" i="13"/>
  <c r="I149" i="13"/>
  <c r="D149" i="13"/>
  <c r="G150" i="13"/>
  <c r="F150" i="13"/>
  <c r="B150" i="13"/>
  <c r="E150" i="13"/>
  <c r="J152" i="13"/>
  <c r="C150" i="13"/>
  <c r="D150" i="13" l="1"/>
  <c r="I150" i="13"/>
  <c r="H150" i="13"/>
  <c r="A152" i="13"/>
  <c r="F151" i="13"/>
  <c r="J153" i="13"/>
  <c r="C151" i="13"/>
  <c r="G151" i="13"/>
  <c r="E151" i="13"/>
  <c r="B151" i="13"/>
  <c r="I151" i="13" l="1"/>
  <c r="D151" i="13"/>
  <c r="A153" i="13"/>
  <c r="H151" i="13"/>
  <c r="C152" i="13"/>
  <c r="F152" i="13"/>
  <c r="E152" i="13"/>
  <c r="G152" i="13"/>
  <c r="B152" i="13"/>
  <c r="J154" i="13"/>
  <c r="H152" i="13" l="1"/>
  <c r="I152" i="13"/>
  <c r="D152" i="13"/>
  <c r="A154" i="13"/>
  <c r="C153" i="13"/>
  <c r="F153" i="13"/>
  <c r="E153" i="13"/>
  <c r="G153" i="13"/>
  <c r="J155" i="13"/>
  <c r="B153" i="13"/>
  <c r="J156" i="13"/>
  <c r="A156" i="13" l="1"/>
  <c r="H153" i="13"/>
  <c r="A155" i="13"/>
  <c r="D153" i="13"/>
  <c r="I153" i="13"/>
  <c r="J157" i="13"/>
  <c r="C154" i="13"/>
  <c r="F154" i="13"/>
  <c r="E154" i="13"/>
  <c r="B154" i="13"/>
  <c r="G154" i="13"/>
  <c r="I154" i="13" l="1"/>
  <c r="D154" i="13"/>
  <c r="H154" i="13"/>
  <c r="A157" i="13"/>
  <c r="F155" i="13"/>
  <c r="G155" i="13"/>
  <c r="E156" i="13"/>
  <c r="C156" i="13"/>
  <c r="E155" i="13"/>
  <c r="F156" i="13"/>
  <c r="G156" i="13"/>
  <c r="C155" i="13"/>
  <c r="B155" i="13"/>
  <c r="J158" i="13"/>
  <c r="B156" i="13"/>
  <c r="H156" i="13" l="1"/>
  <c r="I155" i="13"/>
  <c r="D155" i="13"/>
  <c r="D156" i="13"/>
  <c r="I156" i="13"/>
  <c r="A158" i="13"/>
  <c r="H155" i="13"/>
  <c r="J159" i="13"/>
  <c r="E157" i="13"/>
  <c r="F157" i="13"/>
  <c r="B157" i="13"/>
  <c r="G157" i="13"/>
  <c r="C157" i="13"/>
  <c r="H157" i="13" l="1"/>
  <c r="D157" i="13"/>
  <c r="I157" i="13"/>
  <c r="A159" i="13"/>
  <c r="B158" i="13"/>
  <c r="C158" i="13"/>
  <c r="J160" i="13"/>
  <c r="G158" i="13"/>
  <c r="E158" i="13"/>
  <c r="F158" i="13"/>
  <c r="A160" i="13" l="1"/>
  <c r="I158" i="13"/>
  <c r="D158" i="13"/>
  <c r="H158" i="13"/>
  <c r="F159" i="13"/>
  <c r="J161" i="13"/>
  <c r="C159" i="13"/>
  <c r="E159" i="13"/>
  <c r="G159" i="13"/>
  <c r="B159" i="13"/>
  <c r="H159" i="13" l="1"/>
  <c r="I159" i="13"/>
  <c r="D159" i="13"/>
  <c r="A161" i="13"/>
  <c r="G160" i="13"/>
  <c r="C160" i="13"/>
  <c r="F160" i="13"/>
  <c r="E160" i="13"/>
  <c r="B160" i="13"/>
  <c r="J162" i="13"/>
  <c r="A162" i="13" l="1"/>
  <c r="D160" i="13"/>
  <c r="I160" i="13"/>
  <c r="H160" i="13"/>
  <c r="C161" i="13"/>
  <c r="J163" i="13"/>
  <c r="G161" i="13"/>
  <c r="B161" i="13"/>
  <c r="E161" i="13"/>
  <c r="F161" i="13"/>
  <c r="I161" i="13" l="1"/>
  <c r="D161" i="13"/>
  <c r="H161" i="13"/>
  <c r="A163" i="13"/>
  <c r="C162" i="13"/>
  <c r="E162" i="13"/>
  <c r="G162" i="13"/>
  <c r="J164" i="13"/>
  <c r="B162" i="13"/>
  <c r="F162" i="13"/>
  <c r="A164" i="13" l="1"/>
  <c r="I162" i="13"/>
  <c r="D162" i="13"/>
  <c r="H162" i="13"/>
  <c r="B163" i="13"/>
  <c r="G163" i="13"/>
  <c r="F163" i="13"/>
  <c r="J165" i="13"/>
  <c r="E163" i="13"/>
  <c r="C163" i="13"/>
  <c r="I163" i="13" l="1"/>
  <c r="D163" i="13"/>
  <c r="H163" i="13"/>
  <c r="A165" i="13"/>
  <c r="E164" i="13"/>
  <c r="C164" i="13"/>
  <c r="B164" i="13"/>
  <c r="F164" i="13"/>
  <c r="J166" i="13"/>
  <c r="G164" i="13"/>
  <c r="H164" i="13" l="1"/>
  <c r="A166" i="13"/>
  <c r="I164" i="13"/>
  <c r="D164" i="13"/>
  <c r="F165" i="13"/>
  <c r="E165" i="13"/>
  <c r="G165" i="13"/>
  <c r="B165" i="13"/>
  <c r="J167" i="13"/>
  <c r="C165" i="13"/>
  <c r="I165" i="13" l="1"/>
  <c r="D165" i="13"/>
  <c r="H165" i="13"/>
  <c r="F166" i="13"/>
  <c r="E166" i="13"/>
  <c r="C166" i="13"/>
  <c r="B166" i="13"/>
  <c r="J168" i="13"/>
  <c r="G166" i="13"/>
  <c r="A168" i="13" l="1"/>
  <c r="A189" i="13"/>
  <c r="A181" i="13"/>
  <c r="A180" i="13"/>
  <c r="A186" i="13"/>
  <c r="A188" i="13"/>
  <c r="A183" i="13"/>
  <c r="A182" i="13"/>
  <c r="A179" i="13"/>
  <c r="A185" i="13"/>
  <c r="A170" i="13"/>
  <c r="A176" i="13"/>
  <c r="A174" i="13"/>
  <c r="A175" i="13"/>
  <c r="A171" i="13"/>
  <c r="A187" i="13"/>
  <c r="A184" i="13"/>
  <c r="A173" i="13"/>
  <c r="A172" i="13"/>
  <c r="A177" i="13"/>
  <c r="A178" i="13"/>
  <c r="I166" i="13"/>
  <c r="D166" i="13"/>
  <c r="H166" i="13"/>
  <c r="G168" i="13" s="1"/>
  <c r="E168" i="13"/>
  <c r="C188" i="13"/>
  <c r="C174" i="13"/>
  <c r="E176" i="13"/>
  <c r="E185" i="13"/>
  <c r="F189" i="13"/>
  <c r="C177" i="13"/>
  <c r="C178" i="13"/>
  <c r="E182" i="13"/>
  <c r="G178" i="13"/>
  <c r="B170" i="13"/>
  <c r="B177" i="13"/>
  <c r="C171" i="13"/>
  <c r="C184" i="13"/>
  <c r="E177" i="13"/>
  <c r="B183" i="13"/>
  <c r="F179" i="13"/>
  <c r="G174" i="13"/>
  <c r="B187" i="13"/>
  <c r="C182" i="13"/>
  <c r="E188" i="13"/>
  <c r="G177" i="13"/>
  <c r="F185" i="13"/>
  <c r="C172" i="13"/>
  <c r="E170" i="13"/>
  <c r="C175" i="13"/>
  <c r="G188" i="13"/>
  <c r="B181" i="13"/>
  <c r="F171" i="13"/>
  <c r="F182" i="13"/>
  <c r="E180" i="13"/>
  <c r="C181" i="13"/>
  <c r="F186" i="13"/>
  <c r="G185" i="13"/>
  <c r="C183" i="13"/>
  <c r="E171" i="13"/>
  <c r="E175" i="13"/>
  <c r="F176" i="13"/>
  <c r="B178" i="13"/>
  <c r="B171" i="13"/>
  <c r="B185" i="13"/>
  <c r="G175" i="13"/>
  <c r="G176" i="13"/>
  <c r="F175" i="13"/>
  <c r="F187" i="13"/>
  <c r="C185" i="13"/>
  <c r="F188" i="13"/>
  <c r="B188" i="13"/>
  <c r="C187" i="13"/>
  <c r="E174" i="13"/>
  <c r="C180" i="13"/>
  <c r="B184" i="13"/>
  <c r="G189" i="13"/>
  <c r="F183" i="13"/>
  <c r="G182" i="13"/>
  <c r="C176" i="13"/>
  <c r="B189" i="13"/>
  <c r="C170" i="13"/>
  <c r="C189" i="13"/>
  <c r="F180" i="13"/>
  <c r="B179" i="13"/>
  <c r="B186" i="13"/>
  <c r="B175" i="13"/>
  <c r="E184" i="13"/>
  <c r="G187" i="13"/>
  <c r="E179" i="13"/>
  <c r="G186" i="13"/>
  <c r="G181" i="13"/>
  <c r="F174" i="13"/>
  <c r="G179" i="13"/>
  <c r="B174" i="13"/>
  <c r="G184" i="13"/>
  <c r="G183" i="13"/>
  <c r="E189" i="13"/>
  <c r="F178" i="13"/>
  <c r="F181" i="13"/>
  <c r="G170" i="13"/>
  <c r="B182" i="13"/>
  <c r="E187" i="13"/>
  <c r="E186" i="13"/>
  <c r="C179" i="13"/>
  <c r="G171" i="13"/>
  <c r="B176" i="13"/>
  <c r="E183" i="13"/>
  <c r="C173" i="13"/>
  <c r="B180" i="13"/>
  <c r="E181" i="13"/>
  <c r="G180" i="13"/>
  <c r="F170" i="13"/>
  <c r="F184" i="13"/>
  <c r="C186" i="13"/>
  <c r="E178" i="13"/>
  <c r="F177" i="13"/>
  <c r="D184" i="13" l="1"/>
  <c r="I184" i="13"/>
  <c r="D177" i="13"/>
  <c r="I177" i="13"/>
  <c r="D178" i="13"/>
  <c r="I178" i="13"/>
  <c r="H189" i="13"/>
  <c r="D181" i="13"/>
  <c r="I181" i="13"/>
  <c r="H188" i="13"/>
  <c r="H179" i="13"/>
  <c r="H185" i="13"/>
  <c r="I182" i="13"/>
  <c r="D182" i="13"/>
  <c r="D179" i="13"/>
  <c r="I179" i="13"/>
  <c r="H170" i="13"/>
  <c r="D185" i="13"/>
  <c r="I185" i="13"/>
  <c r="H183" i="13"/>
  <c r="D183" i="13"/>
  <c r="I183" i="13"/>
  <c r="H182" i="13"/>
  <c r="H176" i="13"/>
  <c r="H171" i="13"/>
  <c r="H187" i="13"/>
  <c r="H181" i="13"/>
  <c r="H180" i="13"/>
  <c r="I180" i="13"/>
  <c r="D180" i="13"/>
  <c r="H186" i="13"/>
  <c r="I176" i="13"/>
  <c r="D176" i="13"/>
  <c r="H174" i="13"/>
  <c r="H175" i="13"/>
  <c r="D187" i="13"/>
  <c r="I187" i="13"/>
  <c r="H177" i="13"/>
  <c r="H178" i="13"/>
  <c r="I189" i="13"/>
  <c r="D189" i="13"/>
  <c r="D174" i="13"/>
  <c r="I174" i="13"/>
  <c r="I175" i="13"/>
  <c r="D175" i="13"/>
  <c r="H184" i="13"/>
  <c r="I186" i="13"/>
  <c r="D186" i="13"/>
  <c r="D188" i="13"/>
  <c r="I188" i="13"/>
  <c r="I170" i="13"/>
  <c r="F172" i="13"/>
  <c r="G172" i="13"/>
  <c r="E173" i="13"/>
  <c r="D170" i="13"/>
  <c r="B173" i="13"/>
  <c r="I171" i="13"/>
  <c r="B172" i="13"/>
  <c r="G173" i="13"/>
  <c r="D171" i="13"/>
  <c r="E172" i="13"/>
  <c r="F173" i="13"/>
  <c r="D173" i="13" l="1"/>
  <c r="I173" i="13"/>
  <c r="D193" i="13"/>
  <c r="H172" i="13"/>
  <c r="E191" i="13"/>
  <c r="H173" i="13"/>
  <c r="G193" i="13" s="1"/>
  <c r="D194" i="13" s="1"/>
  <c r="D172" i="13"/>
  <c r="I172" i="13"/>
  <c r="C16" i="13" l="1"/>
  <c r="I16" i="13"/>
  <c r="F16" i="13"/>
  <c r="E20" i="13" s="1"/>
  <c r="G191" i="13"/>
  <c r="F11" i="13"/>
  <c r="G16" i="13"/>
  <c r="H16" i="13" s="1"/>
  <c r="G20" i="13" s="1"/>
  <c r="G9" i="13"/>
  <c r="G11" i="13"/>
  <c r="G10" i="13"/>
  <c r="C10" i="13"/>
  <c r="F9" i="13"/>
  <c r="C9" i="13"/>
  <c r="I10" i="13"/>
  <c r="I9" i="13"/>
  <c r="C11" i="13"/>
  <c r="I11" i="13"/>
  <c r="F10" i="13"/>
  <c r="H10" i="13" s="1"/>
  <c r="H11" i="13" l="1"/>
  <c r="E35" i="13"/>
  <c r="H9" i="13"/>
  <c r="E14" i="13"/>
  <c r="G2" i="13"/>
  <c r="G60" i="13" s="1"/>
  <c r="G35" i="13" l="1"/>
  <c r="D36" i="13" s="1"/>
  <c r="G14" i="13"/>
</calcChain>
</file>

<file path=xl/sharedStrings.xml><?xml version="1.0" encoding="utf-8"?>
<sst xmlns="http://schemas.openxmlformats.org/spreadsheetml/2006/main" count="14539" uniqueCount="4365">
  <si>
    <t>货物清单单价分析表</t>
  </si>
  <si>
    <t/>
  </si>
  <si>
    <t>项目名称：</t>
  </si>
  <si>
    <t>包号：</t>
  </si>
  <si>
    <t>包1</t>
  </si>
  <si>
    <t>货物名称：</t>
  </si>
  <si>
    <t>低压开关柜</t>
  </si>
  <si>
    <t>金额单位：人民币万元</t>
  </si>
  <si>
    <t>序号</t>
  </si>
  <si>
    <t>设备名称</t>
  </si>
  <si>
    <t>型号及规格</t>
  </si>
  <si>
    <t>产地</t>
  </si>
  <si>
    <t>制造商</t>
  </si>
  <si>
    <t>单位</t>
  </si>
  <si>
    <t>数量</t>
  </si>
  <si>
    <t>单价(含税）</t>
  </si>
  <si>
    <t>金额（含税）</t>
  </si>
  <si>
    <t>备注</t>
  </si>
  <si>
    <t>系数</t>
  </si>
  <si>
    <t>成本</t>
  </si>
  <si>
    <t>折扣</t>
  </si>
  <si>
    <t>面价</t>
  </si>
  <si>
    <t>浙江</t>
  </si>
  <si>
    <t>台</t>
  </si>
  <si>
    <t>!</t>
  </si>
  <si>
    <t>壳体W*D*H</t>
  </si>
  <si>
    <t>GCS-600*800*2200</t>
  </si>
  <si>
    <t>GKM1-400M/3300</t>
  </si>
  <si>
    <t>浙江吉坤电气有限公司</t>
  </si>
  <si>
    <t>只</t>
  </si>
  <si>
    <t>GKM1-250M/3300</t>
  </si>
  <si>
    <t>LMK2-30 400/5 0.5</t>
  </si>
  <si>
    <t>人民电器集团有限公司</t>
  </si>
  <si>
    <t>HS7-I3</t>
  </si>
  <si>
    <t>RT18-32/1P</t>
  </si>
  <si>
    <t>AD16-22D</t>
  </si>
  <si>
    <t>TMY-100*6</t>
  </si>
  <si>
    <t>上海</t>
  </si>
  <si>
    <t>上海半径电力铜材有限公司</t>
  </si>
  <si>
    <t>米</t>
  </si>
  <si>
    <t>TMY-30*5</t>
  </si>
  <si>
    <t>TMY-25*3</t>
  </si>
  <si>
    <t>水平排</t>
  </si>
  <si>
    <t>TMY-125*10</t>
  </si>
  <si>
    <t>零母排</t>
  </si>
  <si>
    <t>接地排</t>
  </si>
  <si>
    <t>TMY-80*8</t>
  </si>
  <si>
    <t>成套费</t>
  </si>
  <si>
    <t>套</t>
  </si>
  <si>
    <t>辅件费</t>
  </si>
  <si>
    <t>包装费</t>
  </si>
  <si>
    <t>其他组件材料</t>
  </si>
  <si>
    <t>已含</t>
  </si>
  <si>
    <t>其他费用（运输培训设计联络现场服务等）</t>
  </si>
  <si>
    <t>合计金额（单位完整货物单价）</t>
  </si>
  <si>
    <t>GKM1-630M/3300</t>
  </si>
  <si>
    <t>TMY-50*5</t>
  </si>
  <si>
    <t>GCS-1</t>
  </si>
  <si>
    <t>塑壳断路器</t>
  </si>
  <si>
    <t>GCS-1000*800*2200</t>
  </si>
  <si>
    <t>隔离开关</t>
  </si>
  <si>
    <t>电流互感器</t>
  </si>
  <si>
    <t>LMK2-40 600/5 0.5</t>
  </si>
  <si>
    <t>HS8-3S4</t>
  </si>
  <si>
    <t>熔断器</t>
  </si>
  <si>
    <t>RT18-63/1P</t>
  </si>
  <si>
    <t>浪涌保护器</t>
  </si>
  <si>
    <t>浙江五荣电子有限公司</t>
  </si>
  <si>
    <t>补偿控制器</t>
  </si>
  <si>
    <t>指示灯</t>
  </si>
  <si>
    <t>LA39-11</t>
  </si>
  <si>
    <t>TMY-100*10</t>
  </si>
  <si>
    <t>TMY-60*8</t>
  </si>
  <si>
    <t>GCS-800*800*2200</t>
  </si>
  <si>
    <t>DZ47-3P/D63A</t>
  </si>
  <si>
    <t>RT16-160</t>
  </si>
  <si>
    <t>WR-B100/4P</t>
  </si>
  <si>
    <t>单价</t>
  </si>
  <si>
    <t>金额</t>
  </si>
  <si>
    <t>管理费</t>
  </si>
  <si>
    <t>利润</t>
  </si>
  <si>
    <t>KYN61-1400*3200*2600</t>
  </si>
  <si>
    <t>真空断路器</t>
  </si>
  <si>
    <t>GDB-300</t>
  </si>
  <si>
    <t>42L6-A</t>
  </si>
  <si>
    <t>氧化锌避雷器</t>
  </si>
  <si>
    <t>雷恩电气</t>
  </si>
  <si>
    <t>静触头</t>
  </si>
  <si>
    <t>福一开</t>
  </si>
  <si>
    <t>触头盒</t>
  </si>
  <si>
    <t>CTH12A-40.5/660</t>
  </si>
  <si>
    <t>穿墙套管</t>
  </si>
  <si>
    <t>TGZ3A-40.5</t>
  </si>
  <si>
    <t>支柱绝缘子</t>
  </si>
  <si>
    <t>ZJ201-40.5</t>
  </si>
  <si>
    <t>电压传感器</t>
  </si>
  <si>
    <t>CG5-35Q</t>
  </si>
  <si>
    <t>电磁锁</t>
  </si>
  <si>
    <t>DSN-BM</t>
  </si>
  <si>
    <t>哈陆拉</t>
  </si>
  <si>
    <t>加热器</t>
  </si>
  <si>
    <t>JRD-150W</t>
  </si>
  <si>
    <t>弯板</t>
  </si>
  <si>
    <t>ZH3</t>
  </si>
  <si>
    <t>绝缘板</t>
  </si>
  <si>
    <t>35KV</t>
  </si>
  <si>
    <t>热缩管</t>
  </si>
  <si>
    <t>元件小计</t>
  </si>
  <si>
    <t>利  润</t>
  </si>
  <si>
    <t>高压熔断器</t>
  </si>
  <si>
    <t>上海智广</t>
  </si>
  <si>
    <t>电压互感器</t>
  </si>
  <si>
    <t>TMY-60*6</t>
  </si>
  <si>
    <t>熔断器手车</t>
  </si>
  <si>
    <t>变压器</t>
  </si>
  <si>
    <t>零序互感器</t>
  </si>
  <si>
    <t>接地开关</t>
  </si>
  <si>
    <t>博时达</t>
  </si>
  <si>
    <t>接地连锁</t>
  </si>
  <si>
    <t>消谐电阻器</t>
  </si>
  <si>
    <t>42L6-V</t>
  </si>
  <si>
    <t>高压电容柜</t>
  </si>
  <si>
    <t>上海博时达</t>
  </si>
  <si>
    <t>CT保护器</t>
  </si>
  <si>
    <t>CTB-6</t>
  </si>
  <si>
    <t>西安远征</t>
  </si>
  <si>
    <t>实德电气</t>
  </si>
  <si>
    <t>无功补偿控制器</t>
  </si>
  <si>
    <t>ZBWKG-3500 AC220V</t>
  </si>
  <si>
    <t>新乡中宝</t>
  </si>
  <si>
    <t>微机保护装置</t>
  </si>
  <si>
    <t>干式放电线圈</t>
  </si>
  <si>
    <t>FDGR3 11/√3-1</t>
  </si>
  <si>
    <t>杭州精诚</t>
  </si>
  <si>
    <t>组</t>
  </si>
  <si>
    <t>TG3-10Q/110X180</t>
  </si>
  <si>
    <t>ZJ-10Q/85X140</t>
  </si>
  <si>
    <t>CG5-10Q/95X140</t>
  </si>
  <si>
    <t>带电显示器</t>
  </si>
  <si>
    <t>TMY-40*4</t>
  </si>
  <si>
    <t>方式</t>
  </si>
  <si>
    <t>HXGN-900*1000*2200</t>
  </si>
  <si>
    <t>HXGN-2200*1000</t>
  </si>
  <si>
    <t>GN30-12/630A</t>
  </si>
  <si>
    <t>GDB-100</t>
  </si>
  <si>
    <t>6L2-A</t>
  </si>
  <si>
    <t>LXK-150</t>
  </si>
  <si>
    <t>HY5WZ-17/45</t>
  </si>
  <si>
    <t>XRNP-10/0.5A</t>
  </si>
  <si>
    <t>JDZ10-10 10/0.1 0.5</t>
  </si>
  <si>
    <t>6L2-V</t>
  </si>
  <si>
    <t>UPS-3KVA</t>
  </si>
  <si>
    <t>DXN-10Q</t>
  </si>
  <si>
    <t>HO-WS1-D</t>
  </si>
  <si>
    <t>JN15-12</t>
  </si>
  <si>
    <t>HXGN-12/SXD</t>
  </si>
  <si>
    <t>SCB11-50KVA 全铜</t>
  </si>
  <si>
    <t>LXQ-10</t>
  </si>
  <si>
    <t>JDZ10-10 10/0.1 0.2</t>
  </si>
  <si>
    <t>箱体及辅助材料</t>
  </si>
  <si>
    <t>故障指示器</t>
  </si>
  <si>
    <t>EKL4</t>
  </si>
  <si>
    <t>避雷器</t>
  </si>
  <si>
    <t>KYN28A-800*1500*2300</t>
  </si>
  <si>
    <t>KYN28A-2300*1500</t>
  </si>
  <si>
    <t>49*82 1250A</t>
  </si>
  <si>
    <t>CH3-10Q/180</t>
  </si>
  <si>
    <t>LZZBJ9-10 0.5/10P20</t>
  </si>
  <si>
    <t>KYN28A-12/JD</t>
  </si>
  <si>
    <t>35*82 630A</t>
  </si>
  <si>
    <t>CH3-10Q/150</t>
  </si>
  <si>
    <t>负荷开关</t>
  </si>
  <si>
    <t>LZZBJ9-10 0.5/10P10</t>
  </si>
  <si>
    <t>JDZ-10 10/0.1 0.5</t>
  </si>
  <si>
    <t>XRNT-10/125A</t>
  </si>
  <si>
    <t>一进四出</t>
  </si>
  <si>
    <t>GN19-12/630A</t>
  </si>
  <si>
    <t>TMY-30*3</t>
  </si>
  <si>
    <t>GN30-12D/630A</t>
  </si>
  <si>
    <t>T1</t>
  </si>
  <si>
    <t>S11-M-630KVA 全铝</t>
  </si>
  <si>
    <t>GGD-800*600*2000</t>
  </si>
  <si>
    <t>GGD-2200*600</t>
  </si>
  <si>
    <t>WR-B60/4P</t>
  </si>
  <si>
    <t>HY1.5W-0.28/1.3</t>
  </si>
  <si>
    <t>JKXS-40/480-7</t>
  </si>
  <si>
    <t>JKXS-20/480-7</t>
  </si>
  <si>
    <t>JKXS-15/480-7</t>
  </si>
  <si>
    <t>TMY-80*6</t>
  </si>
  <si>
    <t>TMY-15*3</t>
  </si>
  <si>
    <t>组合式变压器</t>
  </si>
  <si>
    <t>高压部分</t>
  </si>
  <si>
    <t>S11-M-250KVA 全铜</t>
  </si>
  <si>
    <t>管理费A</t>
  </si>
  <si>
    <t>利  润A</t>
  </si>
  <si>
    <t>LW5-16 YH3/3</t>
  </si>
  <si>
    <t>DZ47-4P/D63A</t>
  </si>
  <si>
    <t>HY1.5W-0.28/1.3.</t>
  </si>
  <si>
    <t>BSMJ0.4-20-3</t>
  </si>
  <si>
    <t>S11-M-315KVA 全铜</t>
  </si>
  <si>
    <t>TMY-30*4</t>
  </si>
  <si>
    <t>S11-M-400KVA 全铜</t>
  </si>
  <si>
    <t>S11-M-500KVA 全铜</t>
  </si>
  <si>
    <t>TMY-20*3</t>
  </si>
  <si>
    <t>S11-M-630KVA 全铜</t>
  </si>
  <si>
    <t>TMY-40*6</t>
  </si>
  <si>
    <t>BSMJ0.4-25-3</t>
  </si>
  <si>
    <t>S11-M-800KVA 全铜</t>
  </si>
  <si>
    <t>BSMJ0.4-30-3</t>
  </si>
  <si>
    <t>S11-M-1000KVA 全铜</t>
  </si>
  <si>
    <t>SCB10-1250KVA 全铜</t>
  </si>
  <si>
    <t>SCB10-800KVA 全铜</t>
  </si>
  <si>
    <t>SCB10-1250KVA 半铜铝</t>
  </si>
  <si>
    <t>SCB10-800KVA 半铜铝</t>
  </si>
  <si>
    <t>S11-M-630KVA 半铜铝</t>
  </si>
  <si>
    <t>S11-M-500KVA 半铜铝</t>
  </si>
  <si>
    <t>GCS-800*1000*2200</t>
  </si>
  <si>
    <t>GCS-2200*1000</t>
  </si>
  <si>
    <t>智能框架断路器</t>
  </si>
  <si>
    <t>NM1-630S/3300</t>
  </si>
  <si>
    <t>GCS-2-630A</t>
  </si>
  <si>
    <t>TMY-120*6</t>
  </si>
  <si>
    <t>GCS-1000*1000*2200</t>
  </si>
  <si>
    <t>TMY-100*8</t>
  </si>
  <si>
    <t>CJ19-4311</t>
  </si>
  <si>
    <t>JR36-63A</t>
  </si>
  <si>
    <t>BZMJ0.4-20-3</t>
  </si>
  <si>
    <t>NWK1-G 10</t>
  </si>
  <si>
    <t>NM1-400S/3300</t>
  </si>
  <si>
    <t>GCS-2-400A</t>
  </si>
  <si>
    <t>NM1-125S/3300</t>
  </si>
  <si>
    <t>NM1-250S/3300</t>
  </si>
  <si>
    <t>GCS-1-125A</t>
  </si>
  <si>
    <t>GCS-2-250A</t>
  </si>
  <si>
    <t>TMY-50*6</t>
  </si>
  <si>
    <t>正泰电器</t>
  </si>
  <si>
    <t>GGD-800*1000*2200</t>
  </si>
  <si>
    <t>DDJ-A</t>
  </si>
  <si>
    <t>TMY-25*4</t>
  </si>
  <si>
    <t>经 办 人：</t>
  </si>
  <si>
    <t>报价单号：</t>
  </si>
  <si>
    <t>电    话：</t>
  </si>
  <si>
    <t>报价日期：</t>
  </si>
  <si>
    <t>人民币元</t>
  </si>
  <si>
    <t>设备合计（小写）</t>
  </si>
  <si>
    <t>设备合计（大写）</t>
  </si>
  <si>
    <t>报   价   说   明</t>
  </si>
  <si>
    <t>报价：叶勤武</t>
  </si>
  <si>
    <t>0001</t>
  </si>
  <si>
    <t>台/套</t>
  </si>
  <si>
    <t>NSX</t>
  </si>
  <si>
    <t>包2</t>
  </si>
  <si>
    <t>包3</t>
  </si>
  <si>
    <t>包4</t>
  </si>
  <si>
    <t>包5</t>
  </si>
  <si>
    <t>包6</t>
  </si>
  <si>
    <t>包7</t>
  </si>
  <si>
    <t>包8</t>
  </si>
  <si>
    <t>包9</t>
  </si>
  <si>
    <t>包10</t>
  </si>
  <si>
    <t>42L6-A.</t>
  </si>
  <si>
    <t>电流表</t>
  </si>
  <si>
    <t>42L6-COS.</t>
  </si>
  <si>
    <t>功率因素表</t>
  </si>
  <si>
    <t>42L6-HZ.</t>
  </si>
  <si>
    <t>频率表</t>
  </si>
  <si>
    <t>42L6-V.</t>
  </si>
  <si>
    <t>电压表</t>
  </si>
  <si>
    <t>6L2-A.</t>
  </si>
  <si>
    <t>6L2-COS.</t>
  </si>
  <si>
    <t>6L2-HZ.</t>
  </si>
  <si>
    <t>6L2-KW.</t>
  </si>
  <si>
    <t>功率表</t>
  </si>
  <si>
    <t>6L2-V.</t>
  </si>
  <si>
    <t>85L1-A.</t>
  </si>
  <si>
    <t>85L1-HZ.</t>
  </si>
  <si>
    <t>85L1-V.</t>
  </si>
  <si>
    <t>PA666-3S</t>
  </si>
  <si>
    <t>PZ666-3S</t>
  </si>
  <si>
    <t>PA666-3</t>
  </si>
  <si>
    <t>PZ666-3</t>
  </si>
  <si>
    <t>NWKL1-4</t>
  </si>
  <si>
    <t>无功补偿器</t>
  </si>
  <si>
    <t>NWKL1-8</t>
  </si>
  <si>
    <t>NWKL1-6</t>
  </si>
  <si>
    <t>NWKL1-10</t>
  </si>
  <si>
    <t>NH40-125/3</t>
  </si>
  <si>
    <t>NH40-160/3</t>
  </si>
  <si>
    <t>NH40-200/3</t>
  </si>
  <si>
    <t>NH40-250/3</t>
  </si>
  <si>
    <t>NH40-315/3</t>
  </si>
  <si>
    <t>NH40-400/3</t>
  </si>
  <si>
    <t>NH40-630/3</t>
  </si>
  <si>
    <t>NH40-1000/3</t>
  </si>
  <si>
    <t>NH40-1250/3</t>
  </si>
  <si>
    <t>NH40-1600/3</t>
  </si>
  <si>
    <t>NH40-2000/3</t>
  </si>
  <si>
    <t>NH40-2500/3</t>
  </si>
  <si>
    <t>NH40-3150/3</t>
  </si>
  <si>
    <t>NH40-125/4</t>
  </si>
  <si>
    <t>NH40-160/4</t>
  </si>
  <si>
    <t>NH40-200/4</t>
  </si>
  <si>
    <t>NH40-250/4</t>
  </si>
  <si>
    <t>NH40-315/4</t>
  </si>
  <si>
    <t>NH40-400/4</t>
  </si>
  <si>
    <t>NH40-630/4</t>
  </si>
  <si>
    <t>NH40-1000/4</t>
  </si>
  <si>
    <t>NH40-1250/4</t>
  </si>
  <si>
    <t>NH40-1600/4</t>
  </si>
  <si>
    <t>NH40-2000/4</t>
  </si>
  <si>
    <t>NH40-2500/4</t>
  </si>
  <si>
    <t>NH40-3150/4</t>
  </si>
  <si>
    <t>NH40-100/3</t>
  </si>
  <si>
    <t>NH40-100/4</t>
  </si>
  <si>
    <t>NH40-125/4SZ</t>
  </si>
  <si>
    <t>双电源开关</t>
  </si>
  <si>
    <t>NH40-160/4SZ</t>
  </si>
  <si>
    <t>NH40-250/4SZ</t>
  </si>
  <si>
    <t>NH40-400/4SZ</t>
  </si>
  <si>
    <t>NH40-630/4SZ</t>
  </si>
  <si>
    <t>NH40-800/4SZ</t>
  </si>
  <si>
    <t>NH40-1000/4SZ</t>
  </si>
  <si>
    <t>NH40-1250/4SZ</t>
  </si>
  <si>
    <t>NH40-1600/4SZ</t>
  </si>
  <si>
    <t>NH40-2000/4SZ</t>
  </si>
  <si>
    <t>NH40-2500/4SZ</t>
  </si>
  <si>
    <t>NH40-20/4SZ</t>
  </si>
  <si>
    <t>NH40-25/4SZ</t>
  </si>
  <si>
    <t>NH40-32/4SZ</t>
  </si>
  <si>
    <t>NH40-40/4SZ</t>
  </si>
  <si>
    <t>NH40-63/4SZ</t>
  </si>
  <si>
    <t>NH40-80/4SZ</t>
  </si>
  <si>
    <t>NH40-100/4SZ</t>
  </si>
  <si>
    <t>YH1.5W-0.28/1.3</t>
  </si>
  <si>
    <t>NDK-300VA</t>
  </si>
  <si>
    <t>NDK-500VA</t>
  </si>
  <si>
    <t>HD13BX-1000/31</t>
  </si>
  <si>
    <t>刀开关</t>
  </si>
  <si>
    <t>HD13BX-1500/31</t>
  </si>
  <si>
    <t>HD13BX-200/31</t>
  </si>
  <si>
    <t>HD13BX-400/31</t>
  </si>
  <si>
    <t>HD13BX-600/31</t>
  </si>
  <si>
    <t>99T1-V.</t>
  </si>
  <si>
    <t>99T1-A.</t>
  </si>
  <si>
    <t>BZMJ0.4-10-3</t>
  </si>
  <si>
    <t>电容器</t>
  </si>
  <si>
    <t>BZMJ0.4-12-3</t>
  </si>
  <si>
    <t>BZMJ0.4-14-3</t>
  </si>
  <si>
    <t>BZMJ0.4-15-3</t>
  </si>
  <si>
    <t>BZMJ0.4-16-3</t>
  </si>
  <si>
    <t>BZMJ0.4-18-3</t>
  </si>
  <si>
    <t>BZMJ0.4-24-3</t>
  </si>
  <si>
    <t>BZMJ0.4-25-3</t>
  </si>
  <si>
    <t>BZMJ0.4-30-3</t>
  </si>
  <si>
    <t>BZMJ0.4-40-3</t>
  </si>
  <si>
    <t>BZMJ0.45-10-3</t>
  </si>
  <si>
    <t>BZMJ0.45-12-3</t>
  </si>
  <si>
    <t>BZMJ0.45-14-3</t>
  </si>
  <si>
    <t>BZMJ0.45-15-3</t>
  </si>
  <si>
    <t>BZMJ0.45-16-3</t>
  </si>
  <si>
    <t>BZMJ0.45-18-3</t>
  </si>
  <si>
    <t>BZMJ0.45-20-3</t>
  </si>
  <si>
    <t>BZMJ0.45-25-3</t>
  </si>
  <si>
    <t>BZMJ0.45-30-3</t>
  </si>
  <si>
    <t>BZMJ0.45-40-3</t>
  </si>
  <si>
    <t>NWK1-G 4</t>
  </si>
  <si>
    <t>NWK1-G 6</t>
  </si>
  <si>
    <t>NWK1-G 8</t>
  </si>
  <si>
    <t>DZ158-1P/125A</t>
  </si>
  <si>
    <t>小型断路器</t>
  </si>
  <si>
    <t>DZ158-1P/100A</t>
  </si>
  <si>
    <t>DZ158-1P/63A</t>
  </si>
  <si>
    <t>DZ158-1P/80A</t>
  </si>
  <si>
    <t>DZ158-2P/100A</t>
  </si>
  <si>
    <t>DZ158-2P/125A</t>
  </si>
  <si>
    <t>DZ158-2P/63A</t>
  </si>
  <si>
    <t>DZ158-2P/80A</t>
  </si>
  <si>
    <t>DZ158-3P/100A</t>
  </si>
  <si>
    <t>DZ158-3P/125A</t>
  </si>
  <si>
    <t>DZ158-3P/63A</t>
  </si>
  <si>
    <t>DZ158-3P/80A</t>
  </si>
  <si>
    <t>DZ158-4P/100A</t>
  </si>
  <si>
    <t>DZ158-4P/125A</t>
  </si>
  <si>
    <t>DZ158-4P/63A</t>
  </si>
  <si>
    <t>DZ158-4P/80A</t>
  </si>
  <si>
    <t>DZ267-32 10A</t>
  </si>
  <si>
    <t>DZ267-32 16A</t>
  </si>
  <si>
    <t>DZ267-32 20A</t>
  </si>
  <si>
    <t>DZ267-32 25A</t>
  </si>
  <si>
    <t>DZ267-32 32A</t>
  </si>
  <si>
    <t>DZ267-32 6A</t>
  </si>
  <si>
    <t>DZ47-1P-C10A</t>
  </si>
  <si>
    <t>DZ47-1P-C15A</t>
  </si>
  <si>
    <t>DZ47-1P-C16A</t>
  </si>
  <si>
    <t>DZ47-1P-C20A</t>
  </si>
  <si>
    <t>DZ47-1P-C25A</t>
  </si>
  <si>
    <t>DZ47-1P-C32A</t>
  </si>
  <si>
    <t>DZ47-1P-C1A</t>
  </si>
  <si>
    <t>DZ47-1P-C2A</t>
  </si>
  <si>
    <t>DZ47-1P-C3A</t>
  </si>
  <si>
    <t>DZ47-1P-C4A</t>
  </si>
  <si>
    <t>DZ47-1P-C5A</t>
  </si>
  <si>
    <t>DZ47-1P-C6A</t>
  </si>
  <si>
    <t>DZ47-1P-D10A</t>
  </si>
  <si>
    <t>DZ47-1P-D15A</t>
  </si>
  <si>
    <t>DZ47-1P-D16A</t>
  </si>
  <si>
    <t>DZ47-1P-D20A</t>
  </si>
  <si>
    <t>DZ47-1P-D25A</t>
  </si>
  <si>
    <t>DZ47-1P-D32A</t>
  </si>
  <si>
    <t>DZ47-1P-C40A</t>
  </si>
  <si>
    <t>DZ47-1P-C50A</t>
  </si>
  <si>
    <t>DZ47-1P-C60A</t>
  </si>
  <si>
    <t>DZ47-1P-D1A</t>
  </si>
  <si>
    <t>DZ47-1P-D2A</t>
  </si>
  <si>
    <t>DZ47-1P-D3A</t>
  </si>
  <si>
    <t>DZ47-1P-D4A</t>
  </si>
  <si>
    <t>DZ47-1P-D5A</t>
  </si>
  <si>
    <t>DZ47-1P-D6A</t>
  </si>
  <si>
    <t>DZ47-1P-D40A</t>
  </si>
  <si>
    <t>DZ47-1P-D50A</t>
  </si>
  <si>
    <t>DZ47-1P-D60A</t>
  </si>
  <si>
    <t>DZ47-2P-C10A</t>
  </si>
  <si>
    <t>DZ47-2P-C15A</t>
  </si>
  <si>
    <t>DZ47-2P-C16A</t>
  </si>
  <si>
    <t>DZ47-2P-C20A</t>
  </si>
  <si>
    <t>DZ47-2P-C25A</t>
  </si>
  <si>
    <t>DZ47-2P-C32A</t>
  </si>
  <si>
    <t>DZ47-2P-D10A</t>
  </si>
  <si>
    <t>DZ47-2P-D15A</t>
  </si>
  <si>
    <t>DZ47-2P-D16A</t>
  </si>
  <si>
    <t>DZ47-2P-D20A</t>
  </si>
  <si>
    <t>DZ47-2P-D25A</t>
  </si>
  <si>
    <t>DZ47-2P-D32A</t>
  </si>
  <si>
    <t>DZ47-2P-C1A</t>
  </si>
  <si>
    <t>DZ47-2P-C2A</t>
  </si>
  <si>
    <t>DZ47-2P-C3A</t>
  </si>
  <si>
    <t>DZ47-2P-C4A</t>
  </si>
  <si>
    <t>DZ47-2P-C5A</t>
  </si>
  <si>
    <t>DZ47-2P-C6A</t>
  </si>
  <si>
    <t>DZ47-2P-C40A</t>
  </si>
  <si>
    <t>DZ47-2P-D1A</t>
  </si>
  <si>
    <t>DZ47-2P-D2A</t>
  </si>
  <si>
    <t>DZ47-2P-D3A</t>
  </si>
  <si>
    <t>DZ47-2P-D4A</t>
  </si>
  <si>
    <t>DZ47-2P-D5A</t>
  </si>
  <si>
    <t>DZ47-2P-D6A</t>
  </si>
  <si>
    <t>DZ47-2P-C50A</t>
  </si>
  <si>
    <t>DZ47-2P-C60A</t>
  </si>
  <si>
    <t>DZ47-2P-D40A</t>
  </si>
  <si>
    <t>DZ47-2P-D50A</t>
  </si>
  <si>
    <t>DZ47-2P-D60A</t>
  </si>
  <si>
    <t>DZ47-3P-C10A</t>
  </si>
  <si>
    <t>DZ47-3P-C15A</t>
  </si>
  <si>
    <t>DZ47-3P-C16A</t>
  </si>
  <si>
    <t>DZ47-3P-C20A</t>
  </si>
  <si>
    <t>DZ47-3P-C25A</t>
  </si>
  <si>
    <t>DZ47-3P-C32A</t>
  </si>
  <si>
    <t>DZ47-3P-C1A</t>
  </si>
  <si>
    <t>DZ47-3P-C2A</t>
  </si>
  <si>
    <t>DZ47-3P-C3A</t>
  </si>
  <si>
    <t>DZ47-3P-C4A</t>
  </si>
  <si>
    <t>DZ47-3P-C5A</t>
  </si>
  <si>
    <t>DZ47-3P-C6A</t>
  </si>
  <si>
    <t>DZ47-3P-D10A</t>
  </si>
  <si>
    <t>DZ47-3P-D15A</t>
  </si>
  <si>
    <t>DZ47-3P-D16A</t>
  </si>
  <si>
    <t>DZ47-3P-D20A</t>
  </si>
  <si>
    <t>DZ47-3P-D25A</t>
  </si>
  <si>
    <t>DZ47-3P-D32A</t>
  </si>
  <si>
    <t>DZ47-3P-C40A</t>
  </si>
  <si>
    <t>DZ47-3P-C50A</t>
  </si>
  <si>
    <t>DZ47-3P-C60A</t>
  </si>
  <si>
    <t>DZ47-3P-D1A</t>
  </si>
  <si>
    <t>DZ47-3P-D2A</t>
  </si>
  <si>
    <t>DZ47-3P-D3A</t>
  </si>
  <si>
    <t>DZ47-3P-D4A</t>
  </si>
  <si>
    <t>DZ47-3P-D5A</t>
  </si>
  <si>
    <t>DZ47-3P-D6A</t>
  </si>
  <si>
    <t>DZ47-3P-D40A</t>
  </si>
  <si>
    <t>DZ47-3P-D50A</t>
  </si>
  <si>
    <t>DZ47-3P-D60A</t>
  </si>
  <si>
    <t>DZ47-4P-C10A</t>
  </si>
  <si>
    <t>DZ47-4P-C15A</t>
  </si>
  <si>
    <t>DZ47-4P-C16A</t>
  </si>
  <si>
    <t>DZ47-4P-C20A</t>
  </si>
  <si>
    <t>DZ47-4P-C25A</t>
  </si>
  <si>
    <t>DZ47-4P-C32A</t>
  </si>
  <si>
    <t>DZ47-4P-D10A</t>
  </si>
  <si>
    <t>DZ47-4P-D15A</t>
  </si>
  <si>
    <t>DZ47-4P-D16A</t>
  </si>
  <si>
    <t>DZ47-4P-D20A</t>
  </si>
  <si>
    <t>DZ47-4P-D25A</t>
  </si>
  <si>
    <t>DZ47-4P-D32A</t>
  </si>
  <si>
    <t>DZ47-4P-C3A</t>
  </si>
  <si>
    <t>DZ47-4P-C5A</t>
  </si>
  <si>
    <t>DZ47-4P-C6A</t>
  </si>
  <si>
    <t>DZ47-4P-C40A</t>
  </si>
  <si>
    <t>DZ47-4P-D2A</t>
  </si>
  <si>
    <t>DZ47-4P-D3A</t>
  </si>
  <si>
    <t>DZ47-4P-D5A</t>
  </si>
  <si>
    <t>DZ47-4P-D6A</t>
  </si>
  <si>
    <t>DZ47-4P-C50A</t>
  </si>
  <si>
    <t>DZ47-4P-C60A</t>
  </si>
  <si>
    <t>DZ47-4P-D40A</t>
  </si>
  <si>
    <t>DZ47-4P-D50A</t>
  </si>
  <si>
    <t>DZ47-4P-D60A</t>
  </si>
  <si>
    <t>NH2-1P/100A</t>
  </si>
  <si>
    <t>NH2-1P/32A</t>
  </si>
  <si>
    <t>NH2-1P/63A</t>
  </si>
  <si>
    <t>NH2-2P/100A</t>
  </si>
  <si>
    <t>NH2-2P/32A</t>
  </si>
  <si>
    <t>NH2-2P/63A</t>
  </si>
  <si>
    <t>NH2-3P/100A</t>
  </si>
  <si>
    <t>NH2-3P/32A</t>
  </si>
  <si>
    <t>NH2-3P/63A</t>
  </si>
  <si>
    <t>NH2-4P/100A</t>
  </si>
  <si>
    <t>NH2-4P/32A</t>
  </si>
  <si>
    <t>NH2-4P/63A</t>
  </si>
  <si>
    <t>NH4-2P/32A</t>
  </si>
  <si>
    <t>NH4-2P/63A</t>
  </si>
  <si>
    <t>NH4-3P/100A</t>
  </si>
  <si>
    <t>NH4-3P/125A</t>
  </si>
  <si>
    <t>NH4-3P/32A</t>
  </si>
  <si>
    <t>NH4-3P/63A</t>
  </si>
  <si>
    <t>NH4-4P/100A</t>
  </si>
  <si>
    <t>NH4-4P/125A</t>
  </si>
  <si>
    <t>NH4-4P/32A</t>
  </si>
  <si>
    <t>NH4-4P/63A</t>
  </si>
  <si>
    <t>6ZTD.249.113R</t>
  </si>
  <si>
    <t>XF9</t>
  </si>
  <si>
    <t>辅助触头</t>
  </si>
  <si>
    <t>QSA-1000/3</t>
  </si>
  <si>
    <t>QSA-800/3</t>
  </si>
  <si>
    <t>QSA-63/3</t>
  </si>
  <si>
    <t>QSA-125/3</t>
  </si>
  <si>
    <t>QSA-160/3</t>
  </si>
  <si>
    <t>QSA-250/3</t>
  </si>
  <si>
    <t>QSA-400/3</t>
  </si>
  <si>
    <t>QSA-630/3</t>
  </si>
  <si>
    <t>热继电器</t>
  </si>
  <si>
    <t>JRS1-25.</t>
  </si>
  <si>
    <t>JZ7</t>
  </si>
  <si>
    <t>中间继电器</t>
  </si>
  <si>
    <t>JZC1.</t>
  </si>
  <si>
    <t>JZX</t>
  </si>
  <si>
    <t>KG316T.</t>
  </si>
  <si>
    <t>时控开关</t>
  </si>
  <si>
    <t>NR2-11.5</t>
  </si>
  <si>
    <t>NR2-25</t>
  </si>
  <si>
    <t>NR2-36</t>
  </si>
  <si>
    <t>NR2-630</t>
  </si>
  <si>
    <t>NR2-93</t>
  </si>
  <si>
    <t>NR2-150</t>
  </si>
  <si>
    <t>NR2-200</t>
  </si>
  <si>
    <t>NR4-12.5</t>
  </si>
  <si>
    <t>NR4-180</t>
  </si>
  <si>
    <t>NR4-25</t>
  </si>
  <si>
    <t>NR4-32</t>
  </si>
  <si>
    <t>NR4-45</t>
  </si>
  <si>
    <t>NR4-63</t>
  </si>
  <si>
    <t>NR4-80</t>
  </si>
  <si>
    <t>CJ19-2511</t>
  </si>
  <si>
    <t>接触器</t>
  </si>
  <si>
    <t>CJ19-3211</t>
  </si>
  <si>
    <t>CJ19-6321</t>
  </si>
  <si>
    <t>CJ19-9521</t>
  </si>
  <si>
    <t>CJX1-110</t>
  </si>
  <si>
    <t>CJX1-12</t>
  </si>
  <si>
    <t>CJX1-140</t>
  </si>
  <si>
    <t>CJX1-16</t>
  </si>
  <si>
    <t>CJX1-170</t>
  </si>
  <si>
    <t>CJX1-205</t>
  </si>
  <si>
    <t>CJX1-22</t>
  </si>
  <si>
    <t>CJX1-250</t>
  </si>
  <si>
    <t>CJX1-300</t>
  </si>
  <si>
    <t>CJX1-32</t>
  </si>
  <si>
    <t>CJX1-400</t>
  </si>
  <si>
    <t>CJX1-45</t>
  </si>
  <si>
    <t>CJX1-475</t>
  </si>
  <si>
    <t>CJX1-63</t>
  </si>
  <si>
    <t>CJX1-75</t>
  </si>
  <si>
    <t>CJX1-85</t>
  </si>
  <si>
    <t>CJX1-9</t>
  </si>
  <si>
    <t>CJX2-0910</t>
  </si>
  <si>
    <t>CJX2-1210</t>
  </si>
  <si>
    <t>CJX2-1810</t>
  </si>
  <si>
    <t>CJX2-2510</t>
  </si>
  <si>
    <t>CJX2-3210</t>
  </si>
  <si>
    <t>CJX2-4011</t>
  </si>
  <si>
    <t>CJX2-5011</t>
  </si>
  <si>
    <t>CJX2-6511</t>
  </si>
  <si>
    <t>CJX2-8011</t>
  </si>
  <si>
    <t>CJX2-9511</t>
  </si>
  <si>
    <t>NCH8-20/20</t>
  </si>
  <si>
    <t>NU6-40/1P</t>
  </si>
  <si>
    <t>NU6-60/1P</t>
  </si>
  <si>
    <t>NU6-100/1P</t>
  </si>
  <si>
    <t>NU6-40/2P</t>
  </si>
  <si>
    <t>NU6-60/2P</t>
  </si>
  <si>
    <t>NU6-100/2P</t>
  </si>
  <si>
    <t>NU6-40/3P</t>
  </si>
  <si>
    <t>NU6-60/3P</t>
  </si>
  <si>
    <t>NU6-100/3P</t>
  </si>
  <si>
    <t>NU6-40/4P</t>
  </si>
  <si>
    <t>NU6-60/4P</t>
  </si>
  <si>
    <t>NU6-100/4P</t>
  </si>
  <si>
    <t>DZ158LE-1P/100A</t>
  </si>
  <si>
    <t>漏电断路器</t>
  </si>
  <si>
    <t>DZ158LE-1P/80A</t>
  </si>
  <si>
    <t>DZ158LE-2P/100A</t>
  </si>
  <si>
    <t>DZ158LE-2P/80A</t>
  </si>
  <si>
    <t>DZ158LE-3P/100A</t>
  </si>
  <si>
    <t>DZ158LE-3P/63A</t>
  </si>
  <si>
    <t>DZ158LE-3P/80A</t>
  </si>
  <si>
    <t>DZ158LE-4P/100A</t>
  </si>
  <si>
    <t>DZ158LE-4P/63A</t>
  </si>
  <si>
    <t>DZ158LE-4P/80A</t>
  </si>
  <si>
    <t>DZ267LE-32 10A</t>
  </si>
  <si>
    <t>DZ267LE-32 16A</t>
  </si>
  <si>
    <t>DZ267LE-32 20A</t>
  </si>
  <si>
    <t>DZ267LE-32 25A</t>
  </si>
  <si>
    <t>DZ267LE-32 32A</t>
  </si>
  <si>
    <t>DZ47LE-2P-C10A</t>
  </si>
  <si>
    <t>DZ47LE-2P-C16A</t>
  </si>
  <si>
    <t>DZ47LE-2P-D16A</t>
  </si>
  <si>
    <t>DZ47LE-2P-C20A</t>
  </si>
  <si>
    <t>DZ47LE-2P-D20A</t>
  </si>
  <si>
    <t>DZ47LE-2P-C25A</t>
  </si>
  <si>
    <t>DZ47LE-2P-C32A</t>
  </si>
  <si>
    <t>DZ47LE-2P-D32A</t>
  </si>
  <si>
    <t>DZ47LE-2P-C6A</t>
  </si>
  <si>
    <t>DZ47LE-3P-C10A</t>
  </si>
  <si>
    <t>DZ47LE-3P-C16A</t>
  </si>
  <si>
    <t>DZ47LE-3P-C20A</t>
  </si>
  <si>
    <t>DZ47LE-3P-C25A</t>
  </si>
  <si>
    <t>DZ47LE-3P-C32A</t>
  </si>
  <si>
    <t>DZ47LE-4P-C10A</t>
  </si>
  <si>
    <t>DZ47LE-4P-D10A</t>
  </si>
  <si>
    <t>DZ47LE-4P-C16A</t>
  </si>
  <si>
    <t>DZ47LE-4P-D16A</t>
  </si>
  <si>
    <t>DZ47LE-4P-C20A</t>
  </si>
  <si>
    <t>DZ47LE-4P-D20A</t>
  </si>
  <si>
    <t>DZ47LE-4P-C25A</t>
  </si>
  <si>
    <t>DZ47LE-4P-C32A</t>
  </si>
  <si>
    <t>DZ47LE-4P-D32A</t>
  </si>
  <si>
    <t>DZ47LE-2P-C40A</t>
  </si>
  <si>
    <t>DZ47LE-2P-C50A</t>
  </si>
  <si>
    <t>DZ47LE-2P-C60A</t>
  </si>
  <si>
    <t>DZ47LE-3P-C40A</t>
  </si>
  <si>
    <t>DZ47LE-3P-C60A</t>
  </si>
  <si>
    <t>DZ47LE-3P-D60A</t>
  </si>
  <si>
    <t>DZ47LE-4P-C40A</t>
  </si>
  <si>
    <t>DZ47LE-4P-C50A</t>
  </si>
  <si>
    <t>DZ47LE-4P-C60A</t>
  </si>
  <si>
    <t>DZ47LE-4P-D60A</t>
  </si>
  <si>
    <t>AC30-10/2</t>
  </si>
  <si>
    <t>模数化插座</t>
  </si>
  <si>
    <t>AC30-10/3</t>
  </si>
  <si>
    <t>AC30-16/3</t>
  </si>
  <si>
    <t>AC30-16/4</t>
  </si>
  <si>
    <t>AC30-25/4</t>
  </si>
  <si>
    <t>NM1-125S/3310</t>
  </si>
  <si>
    <t>NM1-125H/3300</t>
  </si>
  <si>
    <t>NM1-125S/3340</t>
  </si>
  <si>
    <t>NM1-250H/3300</t>
  </si>
  <si>
    <t>NM1-250S/3310</t>
  </si>
  <si>
    <t>NM1-250S/3340</t>
  </si>
  <si>
    <t>NM1-400S/3310</t>
  </si>
  <si>
    <t>NM1-400S/3340</t>
  </si>
  <si>
    <t>NM1-1250H/3300</t>
  </si>
  <si>
    <t>NM1-1250S/3300</t>
  </si>
  <si>
    <t>NM1-400H/3300</t>
  </si>
  <si>
    <t>NM1-63S/3300</t>
  </si>
  <si>
    <t>NM1-63S/3340</t>
  </si>
  <si>
    <t>NM1-63H/3300</t>
  </si>
  <si>
    <t>NM1-630S/3310</t>
  </si>
  <si>
    <t>NM1-630S/3340</t>
  </si>
  <si>
    <t>NM1-630H/3300</t>
  </si>
  <si>
    <t>NM1-800H/3300</t>
  </si>
  <si>
    <t>NM1-800S/3300</t>
  </si>
  <si>
    <t>NM1-800H/4300</t>
  </si>
  <si>
    <t>NM1-400H/4300</t>
  </si>
  <si>
    <t>NM1-400H/4340</t>
  </si>
  <si>
    <t>NM1-630H/4300</t>
  </si>
  <si>
    <t>NM1-125H/4300</t>
  </si>
  <si>
    <t>NM1-125H/4340</t>
  </si>
  <si>
    <t>NM1-250H/4300</t>
  </si>
  <si>
    <t>NM1-250H/4340</t>
  </si>
  <si>
    <t>NM1-400S/4300</t>
  </si>
  <si>
    <t>NM1-63H/4300</t>
  </si>
  <si>
    <t>NM1-630S/4300</t>
  </si>
  <si>
    <t>NM1-250S/4300</t>
  </si>
  <si>
    <t>NM1-800S/4300</t>
  </si>
  <si>
    <t>转换开关</t>
  </si>
  <si>
    <t>NA1-2000</t>
  </si>
  <si>
    <t>三锁两钥匙</t>
  </si>
  <si>
    <t>NA1-3200</t>
  </si>
  <si>
    <t>NA1-4000</t>
  </si>
  <si>
    <t>NA1-6000</t>
  </si>
  <si>
    <t>框架断路器</t>
  </si>
  <si>
    <t>ND16-22D</t>
  </si>
  <si>
    <t>蜂鸣器</t>
  </si>
  <si>
    <t>NM1LE-125H/4300B</t>
  </si>
  <si>
    <t>NM1LE-125H/4340B</t>
  </si>
  <si>
    <t>NM1LE-250H/4300B</t>
  </si>
  <si>
    <t>NM1LE-250H/4340B</t>
  </si>
  <si>
    <t>NM1LE-400H/4300B</t>
  </si>
  <si>
    <t>NM1LE-630H/4300B</t>
  </si>
  <si>
    <t>NM1LE-800H/4300B</t>
  </si>
  <si>
    <t>NDK-1500VA</t>
  </si>
  <si>
    <t>NDK-1000VA</t>
  </si>
  <si>
    <t>NDK-100VA</t>
  </si>
  <si>
    <t>NDK-50VA</t>
  </si>
  <si>
    <t>YYYB-A</t>
  </si>
  <si>
    <t>二次元件</t>
  </si>
  <si>
    <t>国产优质</t>
  </si>
  <si>
    <t>XSJ-A</t>
  </si>
  <si>
    <t>YYYBXSJ-A</t>
  </si>
  <si>
    <t>ZFZ-A</t>
  </si>
  <si>
    <t>SSFJ-A</t>
  </si>
  <si>
    <t>FJ-A</t>
  </si>
  <si>
    <t>XFFJ-A</t>
  </si>
  <si>
    <t>SHB-A</t>
  </si>
  <si>
    <t>DJ-A</t>
  </si>
  <si>
    <t>QT-A</t>
  </si>
  <si>
    <t>封板</t>
  </si>
  <si>
    <t>GGD-1200*600*2200</t>
  </si>
  <si>
    <t>GGD-1000*600*2200</t>
  </si>
  <si>
    <t>GGD-800*600*2200</t>
  </si>
  <si>
    <t>GGD-600*600*2200</t>
  </si>
  <si>
    <t>GGD-2200*800</t>
  </si>
  <si>
    <t>GGD-1200*800*2200</t>
  </si>
  <si>
    <t>GGD-1000*800*2200</t>
  </si>
  <si>
    <t>GGD-800*800*2200</t>
  </si>
  <si>
    <t>GGD-600*800*2200</t>
  </si>
  <si>
    <t>GGD-2000*600</t>
  </si>
  <si>
    <t>GGD-1200*600*2000</t>
  </si>
  <si>
    <t>GGD-1000*600*2000</t>
  </si>
  <si>
    <t>GGD-600*600*2000</t>
  </si>
  <si>
    <t>GGD-2000*800</t>
  </si>
  <si>
    <t>GGD-1200*800*2000</t>
  </si>
  <si>
    <t>GGD-1000*800*2000</t>
  </si>
  <si>
    <t>GGD-800*800*2000</t>
  </si>
  <si>
    <t>GGD-600*800*2000</t>
  </si>
  <si>
    <t>GGD-2200*1000</t>
  </si>
  <si>
    <t>GGD-1000*1000*2200</t>
  </si>
  <si>
    <t>GGD-600*1000*2200</t>
  </si>
  <si>
    <t>GCK-2200*800</t>
  </si>
  <si>
    <t>GCK-2200*1000</t>
  </si>
  <si>
    <t>GCK-600*800*2200</t>
  </si>
  <si>
    <t>GCK-800*800*2200</t>
  </si>
  <si>
    <t>GCK-1000*800*2200</t>
  </si>
  <si>
    <t>GCK-600*1000*2200</t>
  </si>
  <si>
    <t>GCK-800*1000*2200</t>
  </si>
  <si>
    <t>GCK-1000*1000*2200</t>
  </si>
  <si>
    <t>GCK-1/2</t>
  </si>
  <si>
    <t>抽屉单元</t>
  </si>
  <si>
    <t>GCK-1</t>
  </si>
  <si>
    <t>GCK-1-125A</t>
  </si>
  <si>
    <t>GCK-1-250A</t>
  </si>
  <si>
    <t>GCK-1.5-125A</t>
  </si>
  <si>
    <t>GCK-1.5-250A</t>
  </si>
  <si>
    <t>GCK-1.5-400A</t>
  </si>
  <si>
    <t>GCK-2-250A</t>
  </si>
  <si>
    <t>GCK-2-400A</t>
  </si>
  <si>
    <t>GCK-2-630A</t>
  </si>
  <si>
    <t>GCK-3-400A</t>
  </si>
  <si>
    <t>GCK-3-630A</t>
  </si>
  <si>
    <t>GCK-3-800A</t>
  </si>
  <si>
    <t>GCS-2200*800</t>
  </si>
  <si>
    <t>GCS-600*1000*2200</t>
  </si>
  <si>
    <t>高度160</t>
  </si>
  <si>
    <t>GCS-1/2</t>
  </si>
  <si>
    <t>分隔单元</t>
  </si>
  <si>
    <t>GCS-1-250A</t>
  </si>
  <si>
    <t>GCS-1.5-125A</t>
  </si>
  <si>
    <t>GCS-1.5-250A</t>
  </si>
  <si>
    <t>GCS-1.5-400A</t>
  </si>
  <si>
    <t>GCS-3-400A</t>
  </si>
  <si>
    <t>GCS-3-630A</t>
  </si>
  <si>
    <t>GCS-3-800A</t>
  </si>
  <si>
    <t>MNS-2200*800</t>
  </si>
  <si>
    <t>MNS-2200*1000</t>
  </si>
  <si>
    <t>MNS-600*800*2200</t>
  </si>
  <si>
    <t>MNS-800*800*2200</t>
  </si>
  <si>
    <t>MNS-1000*800*2200</t>
  </si>
  <si>
    <t>MNS-600*1000*2200</t>
  </si>
  <si>
    <t>MNS-800*1000*2200</t>
  </si>
  <si>
    <t>MNS-1000*1000*2200</t>
  </si>
  <si>
    <t>MNS-1/2</t>
  </si>
  <si>
    <t>MNS-1</t>
  </si>
  <si>
    <t>MNS-1-125A</t>
  </si>
  <si>
    <t>MNS-1-250A</t>
  </si>
  <si>
    <t>MNS-1.5-125A</t>
  </si>
  <si>
    <t>MNS-1.5-250A</t>
  </si>
  <si>
    <t>MNS-1.5-400A</t>
  </si>
  <si>
    <t>MNS-2-250A</t>
  </si>
  <si>
    <t>MNS-2-400A</t>
  </si>
  <si>
    <t>MNS-2-630A</t>
  </si>
  <si>
    <t>MNS-3-400A</t>
  </si>
  <si>
    <t>MNS-3-630A</t>
  </si>
  <si>
    <t>MNS-3-800A</t>
  </si>
  <si>
    <t>KYN28A-400*1500*2300</t>
  </si>
  <si>
    <t>KYN28A-1000*1500*2300</t>
  </si>
  <si>
    <t>KYN28A-800*1660*2300</t>
  </si>
  <si>
    <t>KYN28A-1000*1660*2300</t>
  </si>
  <si>
    <t>KYN28A-800*1800*2300</t>
  </si>
  <si>
    <t>KYN28A-1000*1800*2300</t>
  </si>
  <si>
    <t>KYN28A-2300*1660</t>
  </si>
  <si>
    <t>KYN28A-2300*1800</t>
  </si>
  <si>
    <t>HXGN-400*1000*2200</t>
  </si>
  <si>
    <t>HXGN-500*1000*2200</t>
  </si>
  <si>
    <t>HXGN-650*1000*2200</t>
  </si>
  <si>
    <t>HXGN-700*1000*2200</t>
  </si>
  <si>
    <t>HXGN-800*1000*2200</t>
  </si>
  <si>
    <t>HXGN-1000*1000*2200</t>
  </si>
  <si>
    <t>HXGN-400*1000*2000</t>
  </si>
  <si>
    <t>HXGN-700*1000*2000</t>
  </si>
  <si>
    <t>HXGN-800*1000*2000</t>
  </si>
  <si>
    <t>HXGN-900*1000*2000</t>
  </si>
  <si>
    <t>HXGN-1000*1000*2000</t>
  </si>
  <si>
    <t>HXGN-2200*900</t>
  </si>
  <si>
    <t>10KV-40*4</t>
  </si>
  <si>
    <t>高压热缩管</t>
  </si>
  <si>
    <t>10KV-50*5</t>
  </si>
  <si>
    <t>10KV-60*6</t>
  </si>
  <si>
    <t>10KV-60*8</t>
  </si>
  <si>
    <t>10KV-80*6</t>
  </si>
  <si>
    <t>10KV-80*8</t>
  </si>
  <si>
    <t>10KV-80*10</t>
  </si>
  <si>
    <t>10KV-100*10</t>
  </si>
  <si>
    <t>10KV-120*10</t>
  </si>
  <si>
    <t>10KV-125*10</t>
  </si>
  <si>
    <t>HXGN-12/JD</t>
  </si>
  <si>
    <t>机械连锁</t>
  </si>
  <si>
    <t>HXGN-12/SD</t>
  </si>
  <si>
    <t>UPS-1KVA</t>
  </si>
  <si>
    <t>不间断电源</t>
  </si>
  <si>
    <t>万正电源</t>
  </si>
  <si>
    <t>UPS-2KVA</t>
  </si>
  <si>
    <t>UPS-5KVA</t>
  </si>
  <si>
    <t>VS1-12/T1250-31.5 固定式</t>
  </si>
  <si>
    <t>中置式隔离开关</t>
  </si>
  <si>
    <t>计量手车</t>
  </si>
  <si>
    <t>VS1-RDQ/1250A-08</t>
  </si>
  <si>
    <t>VS1-RDQ/1250A-10</t>
  </si>
  <si>
    <t>VS1-BLQ/630A-08</t>
  </si>
  <si>
    <t>避雷器手车</t>
  </si>
  <si>
    <t>VS1-BLQ/630A-10</t>
  </si>
  <si>
    <t>VS1-JD/630A-08</t>
  </si>
  <si>
    <t>接地手车</t>
  </si>
  <si>
    <t>VS1-JD/1250A-08</t>
  </si>
  <si>
    <t>VS1-JD/1600A-10</t>
  </si>
  <si>
    <t>VS1-JD/2000A-10</t>
  </si>
  <si>
    <t>VS1-JD/2500A~3150A-10</t>
  </si>
  <si>
    <t>VS1-JD/4000A-10</t>
  </si>
  <si>
    <t>真空负荷开关</t>
  </si>
  <si>
    <t>格立特</t>
  </si>
  <si>
    <t>FZN25-12D/630-20 电动</t>
  </si>
  <si>
    <t>FN12-12/630-20 手动</t>
  </si>
  <si>
    <t>FN12-12/630-20 电动</t>
  </si>
  <si>
    <t>FN12-12RD/630-31.5 电动</t>
  </si>
  <si>
    <t>LZZBJ9-10 0.2/0.5/10P10</t>
  </si>
  <si>
    <t>LXK-100</t>
  </si>
  <si>
    <t>LXK-120</t>
  </si>
  <si>
    <t>QN8502-04</t>
  </si>
  <si>
    <t>开关状态指示器</t>
  </si>
  <si>
    <t>上海泉奈</t>
  </si>
  <si>
    <t>QN8502-05</t>
  </si>
  <si>
    <t>智能操控装置</t>
  </si>
  <si>
    <t>HK-200</t>
  </si>
  <si>
    <t>HC-400</t>
  </si>
  <si>
    <t>XRNT-10/5A</t>
  </si>
  <si>
    <t>XRNT-10/40A</t>
  </si>
  <si>
    <t>XRNT-10/50A</t>
  </si>
  <si>
    <t>XRNT-10/63A</t>
  </si>
  <si>
    <t>XRNT-10/80A</t>
  </si>
  <si>
    <t>XRNT-10/100A</t>
  </si>
  <si>
    <t>NR-600H</t>
  </si>
  <si>
    <t>南宏电力</t>
  </si>
  <si>
    <t>NR-610</t>
  </si>
  <si>
    <t>NR-630</t>
  </si>
  <si>
    <t>NR-615</t>
  </si>
  <si>
    <t>NR-616</t>
  </si>
  <si>
    <t>GDB-160</t>
  </si>
  <si>
    <t>上海桂电</t>
  </si>
  <si>
    <t>HY5WS-17/50</t>
  </si>
  <si>
    <t>过电压保护器</t>
  </si>
  <si>
    <t>79*102 2000A</t>
  </si>
  <si>
    <t>CH3-10Q/190</t>
  </si>
  <si>
    <t>TG3-35Q/180X180</t>
  </si>
  <si>
    <t>TG3-35Q/260X260</t>
  </si>
  <si>
    <t>ZB-40.5KV</t>
  </si>
  <si>
    <t>CG3-35Q/145X320</t>
  </si>
  <si>
    <t>ZJ-35Q/145X320</t>
  </si>
  <si>
    <t>DXN-10T</t>
  </si>
  <si>
    <t>EKL-4</t>
  </si>
  <si>
    <t>L-6</t>
  </si>
  <si>
    <t>DXN8D-10Q</t>
  </si>
  <si>
    <t>电缆夹</t>
  </si>
  <si>
    <t>CM1-15 软连接</t>
  </si>
  <si>
    <t>小母线端子</t>
  </si>
  <si>
    <t>CM1-15 铜棒</t>
  </si>
  <si>
    <t>CM1</t>
  </si>
  <si>
    <t>照明灯</t>
  </si>
  <si>
    <t>温湿度控制器</t>
  </si>
  <si>
    <t>HS7-I</t>
  </si>
  <si>
    <t>HS7-U</t>
  </si>
  <si>
    <t>HS7-U3</t>
  </si>
  <si>
    <t>多功能数显表</t>
  </si>
  <si>
    <t>HS7-I+485</t>
  </si>
  <si>
    <t>HS7-U+485</t>
  </si>
  <si>
    <t>HS7-I3+485</t>
  </si>
  <si>
    <t>HS7-U3+485</t>
  </si>
  <si>
    <t>HS8-3S4+485</t>
  </si>
  <si>
    <t>GN30-12/1000A</t>
  </si>
  <si>
    <t>GN30-12D/1000A</t>
  </si>
  <si>
    <t>GN30-12/1250A</t>
  </si>
  <si>
    <t>GN30-12D/1250A</t>
  </si>
  <si>
    <t>GN30-12/1600A</t>
  </si>
  <si>
    <t>GN30-12D/1600A</t>
  </si>
  <si>
    <t>GN30-12/2000A</t>
  </si>
  <si>
    <t>GN30-12D/2000A</t>
  </si>
  <si>
    <t>GN30-12/3150A</t>
  </si>
  <si>
    <t>GN30-12D/3150A</t>
  </si>
  <si>
    <t>GN19-12/400A</t>
  </si>
  <si>
    <t>GN19-12C/400A</t>
  </si>
  <si>
    <t>GN19-12C/630A</t>
  </si>
  <si>
    <t>GN19-12/1000A</t>
  </si>
  <si>
    <t>GN19-12C/1000A</t>
  </si>
  <si>
    <t>GN19-12/1250A</t>
  </si>
  <si>
    <t>GN19-12C/1250A</t>
  </si>
  <si>
    <t>铜芯线</t>
  </si>
  <si>
    <t>TMY-10*3</t>
  </si>
  <si>
    <t>欣利铜材</t>
  </si>
  <si>
    <t>TMY-20*4</t>
  </si>
  <si>
    <t>TMY-25*5</t>
  </si>
  <si>
    <t>TMY-30*6</t>
  </si>
  <si>
    <t>TMY-30*8</t>
  </si>
  <si>
    <t>TMY-30*10</t>
  </si>
  <si>
    <t>TMY-40*5</t>
  </si>
  <si>
    <t>TMY-40*8</t>
  </si>
  <si>
    <t>TMY-50*4</t>
  </si>
  <si>
    <t>TMY-50*8</t>
  </si>
  <si>
    <t>TMY-50*10</t>
  </si>
  <si>
    <t>TMY-60*4</t>
  </si>
  <si>
    <t>TMY-60*5</t>
  </si>
  <si>
    <t>TMY-60*10</t>
  </si>
  <si>
    <t>TMY-80*10</t>
  </si>
  <si>
    <t>TMY-120*8</t>
  </si>
  <si>
    <t>TMY-120*10</t>
  </si>
  <si>
    <t>TMY-125*8</t>
  </si>
  <si>
    <t>TMY-125*12</t>
  </si>
  <si>
    <t>TMY-150*6</t>
  </si>
  <si>
    <t>LMY-15*3</t>
  </si>
  <si>
    <t>LMY-20*3</t>
  </si>
  <si>
    <t>LMY-20*4</t>
  </si>
  <si>
    <t>LMY-25*3</t>
  </si>
  <si>
    <t>LMY-25*4</t>
  </si>
  <si>
    <t>LMY-25*5</t>
  </si>
  <si>
    <t>LMY-30*3</t>
  </si>
  <si>
    <t>LMY-30*4</t>
  </si>
  <si>
    <t>LMY-30*5</t>
  </si>
  <si>
    <t>LMY-30*6</t>
  </si>
  <si>
    <t>LMY-40*4</t>
  </si>
  <si>
    <t>LMY-40*5</t>
  </si>
  <si>
    <t>LMY-40*6</t>
  </si>
  <si>
    <t>LMY-40*8</t>
  </si>
  <si>
    <t>LMY-50*5</t>
  </si>
  <si>
    <t>LMY-50*6</t>
  </si>
  <si>
    <t>LMY-50*8</t>
  </si>
  <si>
    <t>LMY-50*10</t>
  </si>
  <si>
    <t>LMY-60*6</t>
  </si>
  <si>
    <t>LMY-60*8</t>
  </si>
  <si>
    <t>LMY-60*10</t>
  </si>
  <si>
    <t>LMY-80*6</t>
  </si>
  <si>
    <t>LMY-80*8</t>
  </si>
  <si>
    <t>LMY-80*10</t>
  </si>
  <si>
    <t>LMY-100*6</t>
  </si>
  <si>
    <t>LMY-100*8</t>
  </si>
  <si>
    <t>LMY-100*10</t>
  </si>
  <si>
    <t>LMY-120*6</t>
  </si>
  <si>
    <t>LMY-120*8</t>
  </si>
  <si>
    <t>LMY-120*10</t>
  </si>
  <si>
    <t>LMY-125*8</t>
  </si>
  <si>
    <t>LMY-125*10</t>
  </si>
  <si>
    <t>LMY-125*12</t>
  </si>
  <si>
    <t>SBH15-M-100KVA 全铜</t>
  </si>
  <si>
    <t>SBH15-M-160KVA 全铜</t>
  </si>
  <si>
    <t>SBH15-M-200KVA 全铜</t>
  </si>
  <si>
    <t>SBH15-M-250KVA 全铜</t>
  </si>
  <si>
    <t>SBH15-M-315KVA 全铜</t>
  </si>
  <si>
    <t>SBH15-M-400KVA 全铜</t>
  </si>
  <si>
    <t>SBH15-M-500KVA 全铜</t>
  </si>
  <si>
    <t>SBH15-M-630KVA 全铜</t>
  </si>
  <si>
    <t>SBH15-M-800KVA 全铜</t>
  </si>
  <si>
    <t>SBH15-M-1000KVA 全铜</t>
  </si>
  <si>
    <t>SBH15-M-1250KVA 全铜</t>
  </si>
  <si>
    <t>SBH15-M-1600KVA 全铜</t>
  </si>
  <si>
    <t>SBH15-M-100KVA 全铝</t>
  </si>
  <si>
    <t>SBH15-M-160KVA 全铝</t>
  </si>
  <si>
    <t>SBH15-M-200KVA 全铝</t>
  </si>
  <si>
    <t>SBH15-M-250KVA 全铝</t>
  </si>
  <si>
    <t>SBH15-M-315KVA 全铝</t>
  </si>
  <si>
    <t>SBH15-M-400KVA 全铝</t>
  </si>
  <si>
    <t>SBH15-M-500KVA 全铝</t>
  </si>
  <si>
    <t>SBH15-M-630KVA 全铝</t>
  </si>
  <si>
    <t>SBH15-M-800KVA 全铝</t>
  </si>
  <si>
    <t>SBH15-M-1000KVA 全铝</t>
  </si>
  <si>
    <t>SBH15-M-1250KVA 全铝</t>
  </si>
  <si>
    <t>SBH15-M-1600KVA 全铝</t>
  </si>
  <si>
    <t>S13-M-50KVA 全铜</t>
  </si>
  <si>
    <t>S13-M-100KVA 全铜</t>
  </si>
  <si>
    <t>S13-M-125KVA 全铜</t>
  </si>
  <si>
    <t>S13-M-160KVA 全铜</t>
  </si>
  <si>
    <t>S13-M-200KVA 全铜</t>
  </si>
  <si>
    <t>S13-M-250KVA 全铜</t>
  </si>
  <si>
    <t>S13-M-315KVA 全铜</t>
  </si>
  <si>
    <t>S13-M-400KVA 全铜</t>
  </si>
  <si>
    <t>S13-M-500KVA 全铜</t>
  </si>
  <si>
    <t>S13-M-630KVA 全铜</t>
  </si>
  <si>
    <t>S13-M-800KVA 全铜</t>
  </si>
  <si>
    <t>S13-M-1000KVA 全铜</t>
  </si>
  <si>
    <t>S13-M-1250KVA 全铜</t>
  </si>
  <si>
    <t>S13-M-1600KVA 全铜</t>
  </si>
  <si>
    <t>S13-M-50KVA 全铝</t>
  </si>
  <si>
    <t>S13-M-100KVA 全铝</t>
  </si>
  <si>
    <t>S13-M-125KVA 全铝</t>
  </si>
  <si>
    <t>S13-M-160KVA 全铝</t>
  </si>
  <si>
    <t>S13-M-200KVA 全铝</t>
  </si>
  <si>
    <t>S13-M-250KVA 全铝</t>
  </si>
  <si>
    <t>S13-M-315KVA 全铝</t>
  </si>
  <si>
    <t>S13-M-400KVA 全铝</t>
  </si>
  <si>
    <t>S13-M-500KVA 全铝</t>
  </si>
  <si>
    <t>S13-M-630KVA 全铝</t>
  </si>
  <si>
    <t>S13-M-800KVA 全铝</t>
  </si>
  <si>
    <t>S13-M-1000KVA 全铝</t>
  </si>
  <si>
    <t>S13-M-1250KVA 全铝</t>
  </si>
  <si>
    <t>S13-M-1600KVA 全铝</t>
  </si>
  <si>
    <t>S9-30KVA 全铜</t>
  </si>
  <si>
    <t>S9-50KVA 全铜</t>
  </si>
  <si>
    <t>S9-80KVA 全铜</t>
  </si>
  <si>
    <t>S9-100KVA 全铜</t>
  </si>
  <si>
    <t>S9-125KVA 全铜</t>
  </si>
  <si>
    <t>S9-160KVA 全铜</t>
  </si>
  <si>
    <t>S9-200KVA 全铜</t>
  </si>
  <si>
    <t>S9-250KVA 全铜</t>
  </si>
  <si>
    <t>S9-315KVA 全铜</t>
  </si>
  <si>
    <t>S9-400KVA 全铜</t>
  </si>
  <si>
    <t>S9-500KVA 全铜</t>
  </si>
  <si>
    <t>S9-630KVA 全铜</t>
  </si>
  <si>
    <t>S9-800KVA 全铜</t>
  </si>
  <si>
    <t>S9-1000KVA 全铜</t>
  </si>
  <si>
    <t>S9-1250KVA 全铜</t>
  </si>
  <si>
    <t>S9-1600KVA 全铜</t>
  </si>
  <si>
    <t>S9-2000KVA 全铜</t>
  </si>
  <si>
    <t>S9-30KVA 半铜铝</t>
  </si>
  <si>
    <t>S9-50KVA 半铜铝</t>
  </si>
  <si>
    <t>S9-80KVA 半铜铝</t>
  </si>
  <si>
    <t>S9-100KVA 半铜铝</t>
  </si>
  <si>
    <t>S9-125KVA 半铜铝</t>
  </si>
  <si>
    <t>S9-160KVA 半铜铝</t>
  </si>
  <si>
    <t>S9-200KVA 半铜铝</t>
  </si>
  <si>
    <t>S9-250KVA 半铜铝</t>
  </si>
  <si>
    <t>S9-315KVA 半铜铝</t>
  </si>
  <si>
    <t>S9-400KVA 半铜铝</t>
  </si>
  <si>
    <t>S9-500KVA 半铜铝</t>
  </si>
  <si>
    <t>S9-630KVA 半铜铝</t>
  </si>
  <si>
    <t>S9-800KVA 半铜铝</t>
  </si>
  <si>
    <t>S9-1000KVA 半铜铝</t>
  </si>
  <si>
    <t>S9-1250KVA 半铜铝</t>
  </si>
  <si>
    <t>S9-1600KVA 半铜铝</t>
  </si>
  <si>
    <t>S9-2000KVA 半铜铝</t>
  </si>
  <si>
    <t>S9-30KVA 全铝</t>
  </si>
  <si>
    <t>S9-50KVA 全铝</t>
  </si>
  <si>
    <t>S9-80KVA 全铝</t>
  </si>
  <si>
    <t>S9-100KVA 全铝</t>
  </si>
  <si>
    <t>S9-125KVA 全铝</t>
  </si>
  <si>
    <t>S9-160KVA 全铝</t>
  </si>
  <si>
    <t>S9-200KVA 全铝</t>
  </si>
  <si>
    <t>S9-250KVA 全铝</t>
  </si>
  <si>
    <t>S9-315KVA 全铝</t>
  </si>
  <si>
    <t>S9-400KVA 全铝</t>
  </si>
  <si>
    <t>S9-500KVA 全铝</t>
  </si>
  <si>
    <t>S9-630KVA 全铝</t>
  </si>
  <si>
    <t>S9-800KVA 全铝</t>
  </si>
  <si>
    <t>S9-1000KVA 全铝</t>
  </si>
  <si>
    <t>S9-1250KVA 全铝</t>
  </si>
  <si>
    <t>S9-1600KVA 全铝</t>
  </si>
  <si>
    <t>S9-2000KVA 全铝</t>
  </si>
  <si>
    <t>S11-M-30KVA 全铜</t>
  </si>
  <si>
    <t>S11-M-50KVA 全铜</t>
  </si>
  <si>
    <t>S11-M-80KVA 全铜</t>
  </si>
  <si>
    <t>S11-M-100KVA 全铜</t>
  </si>
  <si>
    <t>S11-M-125KVA 全铜</t>
  </si>
  <si>
    <t>S11-M-160KVA 全铜</t>
  </si>
  <si>
    <t>S11-M-200KVA 全铜</t>
  </si>
  <si>
    <t>S11-M-1250KVA 全铜</t>
  </si>
  <si>
    <t>S11-M-1600KVA 全铜</t>
  </si>
  <si>
    <t>S11-M-2000KVA 全铜</t>
  </si>
  <si>
    <t>S11-M-30KVA 半铜铝</t>
  </si>
  <si>
    <t>S11-M-50KVA 半铜铝</t>
  </si>
  <si>
    <t>S11-M-80KVA 半铜铝</t>
  </si>
  <si>
    <t>S11-M-100KVA 半铜铝</t>
  </si>
  <si>
    <t>S11-M-125KVA 半铜铝</t>
  </si>
  <si>
    <t>S11-M-160KVA 半铜铝</t>
  </si>
  <si>
    <t>S11-M-200KVA 半铜铝</t>
  </si>
  <si>
    <t>S11-M-250KVA 半铜铝</t>
  </si>
  <si>
    <t>S11-M-315KVA 半铜铝</t>
  </si>
  <si>
    <t>S11-M-400KVA 半铜铝</t>
  </si>
  <si>
    <t>S11-M-800KVA 半铜铝</t>
  </si>
  <si>
    <t>S11-M-1000KVA 半铜铝</t>
  </si>
  <si>
    <t>S11-M-1250KVA 半铜铝</t>
  </si>
  <si>
    <t>S11-M-1600KVA 半铜铝</t>
  </si>
  <si>
    <t>S11-M-2000KVA 半铜铝</t>
  </si>
  <si>
    <t>S11-M-30KVA 全铝</t>
  </si>
  <si>
    <t>S11-M-50KVA 全铝</t>
  </si>
  <si>
    <t>S11-M-80KVA 全铝</t>
  </si>
  <si>
    <t>S11-M-100KVA 全铝</t>
  </si>
  <si>
    <t>S11-M-125KVA 全铝</t>
  </si>
  <si>
    <t>S11-M-160KVA 全铝</t>
  </si>
  <si>
    <t>S11-M-200KVA 全铝</t>
  </si>
  <si>
    <t>S11-M-250KVA 全铝</t>
  </si>
  <si>
    <t>S11-M-315KVA 全铝</t>
  </si>
  <si>
    <t>S11-M-400KVA 全铝</t>
  </si>
  <si>
    <t>S11-M-500KVA 全铝</t>
  </si>
  <si>
    <t>S11-M-800KVA 全铝</t>
  </si>
  <si>
    <t>S11-M-1000KVA 全铝</t>
  </si>
  <si>
    <t>S11-M-1250KVA 全铝</t>
  </si>
  <si>
    <t>S11-M-1600KVA 全铝</t>
  </si>
  <si>
    <t>S11-M-2000KVA 全铝</t>
  </si>
  <si>
    <t>SCB10-30KVA 全铜</t>
  </si>
  <si>
    <t>SCB10-50KVA 全铜</t>
  </si>
  <si>
    <t>SCB10-80KVA 全铜</t>
  </si>
  <si>
    <t>SCB10-100KVA 全铜</t>
  </si>
  <si>
    <t>SCB10-125KVA 全铜</t>
  </si>
  <si>
    <t>SCB10-160KVA 全铜</t>
  </si>
  <si>
    <t>SCB10-200KVA 全铜</t>
  </si>
  <si>
    <t>SCB10-250KVA 全铜</t>
  </si>
  <si>
    <t>SCB10-315KVA 全铜</t>
  </si>
  <si>
    <t>SCB10-400KVA 全铜</t>
  </si>
  <si>
    <t>SCB10-500KVA 全铜</t>
  </si>
  <si>
    <t>SCB10-630KVA 全铜</t>
  </si>
  <si>
    <t>SCB10-1000KVA 全铜</t>
  </si>
  <si>
    <t>SCB10-1600KVA 全铜</t>
  </si>
  <si>
    <t>SCB10-2000KVA 全铜</t>
  </si>
  <si>
    <t>SCB10-2500KVA 全铜</t>
  </si>
  <si>
    <t>SCB10-30KVA 半铜铝</t>
  </si>
  <si>
    <t>SCB10-50KVA 半铜铝</t>
  </si>
  <si>
    <t>SCB10-80KVA 半铜铝</t>
  </si>
  <si>
    <t>SCB10-100KVA 半铜铝</t>
  </si>
  <si>
    <t>SCB10-125KVA 半铜铝</t>
  </si>
  <si>
    <t>SCB10-160KVA 半铜铝</t>
  </si>
  <si>
    <t>SCB10-200KVA 半铜铝</t>
  </si>
  <si>
    <t>SCB10-250KVA 半铜铝</t>
  </si>
  <si>
    <t>SCB10-315KVA 半铜铝</t>
  </si>
  <si>
    <t>SCB10-400KVA 半铜铝</t>
  </si>
  <si>
    <t>SCB10-500KVA 半铜铝</t>
  </si>
  <si>
    <t>SCB10-630KVA 半铜铝</t>
  </si>
  <si>
    <t>SCB10-1000KVA 半铜铝</t>
  </si>
  <si>
    <t>SCB10-1600KVA 半铜铝</t>
  </si>
  <si>
    <t>SCB10-2000KVA 半铜铝</t>
  </si>
  <si>
    <t>SCB10-2500KVA 半铜铝</t>
  </si>
  <si>
    <t>SCB10-30KVA 全铝</t>
  </si>
  <si>
    <t>SCB10-50KVA 全铝</t>
  </si>
  <si>
    <t>SCB10-80KVA 全铝</t>
  </si>
  <si>
    <t>SCB10-100KVA 全铝</t>
  </si>
  <si>
    <t>SCB10-125KVA 全铝</t>
  </si>
  <si>
    <t>SCB10-160KVA 全铝</t>
  </si>
  <si>
    <t>SCB10-200KVA 全铝</t>
  </si>
  <si>
    <t>SCB10-250KVA 全铝</t>
  </si>
  <si>
    <t>SCB10-315KVA 全铝</t>
  </si>
  <si>
    <t>SCB10-400KVA 全铝</t>
  </si>
  <si>
    <t>SCB10-500KVA 全铝</t>
  </si>
  <si>
    <t>SCB10-630KVA 全铝</t>
  </si>
  <si>
    <t>SCB10-800KVA 全铝</t>
  </si>
  <si>
    <t>SCB10-1000KVA 全铝</t>
  </si>
  <si>
    <t>SCB10-1250KVA 全铝</t>
  </si>
  <si>
    <t>SCB10-1600KVA 全铝</t>
  </si>
  <si>
    <t>SCB10-2000KVA 全铝</t>
  </si>
  <si>
    <t>SCB10-2500KVA 全铝</t>
  </si>
  <si>
    <t>SCB11-30KVA 全铜</t>
  </si>
  <si>
    <t>SCB11-80KVA 全铜</t>
  </si>
  <si>
    <t>SCB11-100KVA 全铜</t>
  </si>
  <si>
    <t>SCB11-125KVA 全铜</t>
  </si>
  <si>
    <t>SCB11-160KVA 全铜</t>
  </si>
  <si>
    <t>SCB11-200KVA 全铜</t>
  </si>
  <si>
    <t>SCB11-250KVA 全铜</t>
  </si>
  <si>
    <t>SCB11-315KVA 全铜</t>
  </si>
  <si>
    <t>SCB11-400KVA 全铜</t>
  </si>
  <si>
    <t>SCB11-500KVA 全铜</t>
  </si>
  <si>
    <t>SCB11-630KVA 全铜</t>
  </si>
  <si>
    <t>SCB11-800KVA 全铜</t>
  </si>
  <si>
    <t>SCB11-1000KVA 全铜</t>
  </si>
  <si>
    <t>SCB11-1250KVA 全铜</t>
  </si>
  <si>
    <t>SCB11-1600KVA 全铜</t>
  </si>
  <si>
    <t>SCB11-2000KVA 全铜</t>
  </si>
  <si>
    <t>SCB11-2500KVA 全铜</t>
  </si>
  <si>
    <t>SCB11-30KVA 半铜铝</t>
  </si>
  <si>
    <t>SCB11-50KVA 半铜铝</t>
  </si>
  <si>
    <t>SCB11-80KVA 半铜铝</t>
  </si>
  <si>
    <t>SCB11-100KVA 半铜铝</t>
  </si>
  <si>
    <t>SCB11-125KVA 半铜铝</t>
  </si>
  <si>
    <t>SCB11-160KVA 半铜铝</t>
  </si>
  <si>
    <t>SCB11-200KVA 半铜铝</t>
  </si>
  <si>
    <t>SCB11-250KVA 半铜铝</t>
  </si>
  <si>
    <t>SCB11-315KVA 半铜铝</t>
  </si>
  <si>
    <t>SCB11-400KVA 半铜铝</t>
  </si>
  <si>
    <t>SCB11-500KVA 半铜铝</t>
  </si>
  <si>
    <t>SCB11-630KVA 半铜铝</t>
  </si>
  <si>
    <t>SCB11-800KVA 半铜铝</t>
  </si>
  <si>
    <t>SCB11-1000KVA 半铜铝</t>
  </si>
  <si>
    <t>SCB11-1250KVA 半铜铝</t>
  </si>
  <si>
    <t>SCB11-1600KVA 半铜铝</t>
  </si>
  <si>
    <t>SCB11-2000KVA 半铜铝</t>
  </si>
  <si>
    <t>SCB11-2500KVA 半铜铝</t>
  </si>
  <si>
    <t>SCB11-30KVA 全铝</t>
  </si>
  <si>
    <t>SCB11-50KVA 全铝</t>
  </si>
  <si>
    <t>SCB11-80KVA 全铝</t>
  </si>
  <si>
    <t>SCB11-100KVA 全铝</t>
  </si>
  <si>
    <t>SCB11-125KVA 全铝</t>
  </si>
  <si>
    <t>SCB11-160KVA 全铝</t>
  </si>
  <si>
    <t>SCB11-200KVA 全铝</t>
  </si>
  <si>
    <t>SCB11-250KVA 全铝</t>
  </si>
  <si>
    <t>SCB11-315KVA 全铝</t>
  </si>
  <si>
    <t>SCB11-400KVA 全铝</t>
  </si>
  <si>
    <t>SCB11-500KVA 全铝</t>
  </si>
  <si>
    <t>SCB11-630KVA 全铝</t>
  </si>
  <si>
    <t>SCB11-800KVA 全铝</t>
  </si>
  <si>
    <t>SCB11-1000KVA 全铝</t>
  </si>
  <si>
    <t>SCB11-1250KVA 全铝</t>
  </si>
  <si>
    <t>SCB11-1600KVA 全铝</t>
  </si>
  <si>
    <t>SCB11-2000KVA 全铝</t>
  </si>
  <si>
    <t>SCB11-2500KVA 全铝</t>
  </si>
  <si>
    <t>SCBWK-30KVA 铁</t>
  </si>
  <si>
    <t>变压器外壳</t>
  </si>
  <si>
    <t>SCBWK-50KVA 铁</t>
  </si>
  <si>
    <t>SCBWK-80KVA 铁</t>
  </si>
  <si>
    <t>SCBWK-100KVA 铁</t>
  </si>
  <si>
    <t>SCBWK-125KVA 铁</t>
  </si>
  <si>
    <t>SCBWK-160KVA 铁</t>
  </si>
  <si>
    <t>SCBWK-200KVA 铁</t>
  </si>
  <si>
    <t>SCBWK-250KVA 铁</t>
  </si>
  <si>
    <t>SCBWK-315KVA 铁</t>
  </si>
  <si>
    <t>SCBWK-400KVA 铁</t>
  </si>
  <si>
    <t>SCBWK-500KVA 铁</t>
  </si>
  <si>
    <t>SCBWK-630KVA 铁</t>
  </si>
  <si>
    <t>SCBWK-800KVA 铁</t>
  </si>
  <si>
    <t>SCBWK-1000KVA 铁</t>
  </si>
  <si>
    <t>SCBWK-1250KVA 铁</t>
  </si>
  <si>
    <t>SCBWK-1600KVA 铁</t>
  </si>
  <si>
    <t>SCBWK-2000KVA 铁</t>
  </si>
  <si>
    <t>SCBWK-2500KVA 铁</t>
  </si>
  <si>
    <t>SCBWK-30KVA 不锈钢</t>
  </si>
  <si>
    <t>SCBWK-50KVA 不锈钢</t>
  </si>
  <si>
    <t>SCBWK-80KVA 不锈钢</t>
  </si>
  <si>
    <t>SCBWK-100KVA 不锈钢</t>
  </si>
  <si>
    <t>SCBWK-125KVA 不锈钢</t>
  </si>
  <si>
    <t>SCBWK-160KVA 不锈钢</t>
  </si>
  <si>
    <t>SCBWK-200KVA 不锈钢</t>
  </si>
  <si>
    <t>SCBWK-250KVA 不锈钢</t>
  </si>
  <si>
    <t>SCBWK-315KVA 不锈钢</t>
  </si>
  <si>
    <t>SCBWK-400KVA 不锈钢</t>
  </si>
  <si>
    <t>SCBWK-500KVA 不锈钢</t>
  </si>
  <si>
    <t>SCBWK-630KVA 不锈钢</t>
  </si>
  <si>
    <t>SCBWK-800KVA 不锈钢</t>
  </si>
  <si>
    <t>SCBWK-1000KVA 不锈钢</t>
  </si>
  <si>
    <t>SCBWK-1250KVA 不锈钢</t>
  </si>
  <si>
    <t>SCBWK-1600KVA 不锈钢</t>
  </si>
  <si>
    <t>SCBWK-2000KVA 不锈钢</t>
  </si>
  <si>
    <t>SCBWK-2500KVA 不锈钢</t>
  </si>
  <si>
    <t>箱变型号</t>
  </si>
  <si>
    <t>YBM</t>
  </si>
  <si>
    <t>目字形</t>
  </si>
  <si>
    <t>YBP</t>
  </si>
  <si>
    <t>品字形</t>
  </si>
  <si>
    <t>YBW</t>
  </si>
  <si>
    <t>户外</t>
  </si>
  <si>
    <t>ZGS</t>
  </si>
  <si>
    <t>美变</t>
  </si>
  <si>
    <t>ATS-2000</t>
  </si>
  <si>
    <t>控制器+机械连锁</t>
  </si>
  <si>
    <t>吉坤电气</t>
  </si>
  <si>
    <t>ATS-3200</t>
  </si>
  <si>
    <t>ATS-4000</t>
  </si>
  <si>
    <t>ATS-6000</t>
  </si>
  <si>
    <t>GKW1-2000</t>
  </si>
  <si>
    <t>GKW1-3200</t>
  </si>
  <si>
    <t>GKW1-4000</t>
  </si>
  <si>
    <t>GKW1-6000</t>
  </si>
  <si>
    <t>GKM1-63L/3300</t>
  </si>
  <si>
    <t>GKM1-63M/3300</t>
  </si>
  <si>
    <t>GKM1-250L/3300</t>
  </si>
  <si>
    <t>GKM1-400L/3300</t>
  </si>
  <si>
    <t>GKM1-630L/3300</t>
  </si>
  <si>
    <t>GKM1-800M/3300</t>
  </si>
  <si>
    <t>GKM1-250MP/3300</t>
  </si>
  <si>
    <t>GKM1-400MP/3300</t>
  </si>
  <si>
    <t>GKM1-630MP/3300</t>
  </si>
  <si>
    <t>GKM1-800MP/3300</t>
  </si>
  <si>
    <t>GKM1-800H/3300</t>
  </si>
  <si>
    <t>GKM1-63M/4300</t>
  </si>
  <si>
    <t>GKM1-125M/4300</t>
  </si>
  <si>
    <t>GKM1-250M/4300</t>
  </si>
  <si>
    <t>GKM1-400M/4300</t>
  </si>
  <si>
    <t>GKM1-630M/4300</t>
  </si>
  <si>
    <t>GKM1-800M/4300</t>
  </si>
  <si>
    <t>GKM1-63L/3340</t>
  </si>
  <si>
    <t>GKM1-250L/3340</t>
  </si>
  <si>
    <t>GKM1-400L/3340</t>
  </si>
  <si>
    <t>GKM1-630L/3340</t>
  </si>
  <si>
    <t>GKM1-63M/3340</t>
  </si>
  <si>
    <t>GKM1-250M/3340</t>
  </si>
  <si>
    <t>GKM1-400M/3340</t>
  </si>
  <si>
    <t>GKM1-630M/3340</t>
  </si>
  <si>
    <t>GKM1-800M/3340</t>
  </si>
  <si>
    <t>GKM1-63L/3310</t>
  </si>
  <si>
    <t>GKM1-63M/3310</t>
  </si>
  <si>
    <t>GKM1-250L/3310</t>
  </si>
  <si>
    <t>GKM1-400L/3310</t>
  </si>
  <si>
    <t>GKM1-630L/3310</t>
  </si>
  <si>
    <t>GKM1-250M/3310</t>
  </si>
  <si>
    <t>GKM1-400M/3310</t>
  </si>
  <si>
    <t>GKM1-630M/3310</t>
  </si>
  <si>
    <t>GKM1-800M/3310</t>
  </si>
  <si>
    <t>GKM1-63L/3208</t>
  </si>
  <si>
    <t>GKM1-63M/3208</t>
  </si>
  <si>
    <t>GKM1-250L/3208</t>
  </si>
  <si>
    <t>GKM1-400L/3208</t>
  </si>
  <si>
    <t>GKM1-630L/3208</t>
  </si>
  <si>
    <t>GKM1-250M/3208</t>
  </si>
  <si>
    <t>GKM1-400M/3208</t>
  </si>
  <si>
    <t>GKM1-630M/3208</t>
  </si>
  <si>
    <t>GKM1-800M/3208</t>
  </si>
  <si>
    <t>自动重合闸漏电</t>
  </si>
  <si>
    <t>GKH2-40/3</t>
  </si>
  <si>
    <t>GKH2-63/3</t>
  </si>
  <si>
    <t>GKH2-80/3</t>
  </si>
  <si>
    <t>GKH2-100/3</t>
  </si>
  <si>
    <t>GKH2-125/3</t>
  </si>
  <si>
    <t>GKH2-160/3</t>
  </si>
  <si>
    <t>GKH2-200/3</t>
  </si>
  <si>
    <t>GKH2-250/3</t>
  </si>
  <si>
    <t>GKH2-315/3</t>
  </si>
  <si>
    <t>GKH2-400/3</t>
  </si>
  <si>
    <t>GKH2-500/3</t>
  </si>
  <si>
    <t>GKH2-630/3</t>
  </si>
  <si>
    <t>GKH2-800/3</t>
  </si>
  <si>
    <t>GKH2-1000/3</t>
  </si>
  <si>
    <t>GKH2-1250/3</t>
  </si>
  <si>
    <t>GKH2-1600/3</t>
  </si>
  <si>
    <t>GKH2-40/4</t>
  </si>
  <si>
    <t>GKH2-63/4</t>
  </si>
  <si>
    <t>GKH2-80/4</t>
  </si>
  <si>
    <t>GKH2-100/4</t>
  </si>
  <si>
    <t>GKH2-125/4</t>
  </si>
  <si>
    <t>GKH2-160/4</t>
  </si>
  <si>
    <t>GKH2-200/4</t>
  </si>
  <si>
    <t>GKH2-250/4</t>
  </si>
  <si>
    <t>GKH2-315/4</t>
  </si>
  <si>
    <t>GKH2-400/4</t>
  </si>
  <si>
    <t>GKH2-500/4</t>
  </si>
  <si>
    <t>GKH2-630/4</t>
  </si>
  <si>
    <t>GKH2-800/4</t>
  </si>
  <si>
    <t>GKH2-1000/4</t>
  </si>
  <si>
    <t>GKH2-1250/4</t>
  </si>
  <si>
    <t>GKH2-1600/4</t>
  </si>
  <si>
    <t>GKH2-2000/4</t>
  </si>
  <si>
    <t>GKH2-40/3J</t>
  </si>
  <si>
    <t>GKH2-63/3J</t>
  </si>
  <si>
    <t>GKH2-80/3J</t>
  </si>
  <si>
    <t>GKH2-100/3J</t>
  </si>
  <si>
    <t>GKH2-125/3J</t>
  </si>
  <si>
    <t>GKH2-160/3J</t>
  </si>
  <si>
    <t>GKH2-200/3J</t>
  </si>
  <si>
    <t>GKH2-250/3J</t>
  </si>
  <si>
    <t>GKH2-315/3J</t>
  </si>
  <si>
    <t>GKH2-400/3J</t>
  </si>
  <si>
    <t>GKH2-500/3J</t>
  </si>
  <si>
    <t>GKH2-630/3J</t>
  </si>
  <si>
    <t>GKH2-800/3J</t>
  </si>
  <si>
    <t>GKH2-1000/3J</t>
  </si>
  <si>
    <t>GKH2-1250/3J</t>
  </si>
  <si>
    <t>GKH2-1600/3J</t>
  </si>
  <si>
    <t>GKH2-40/4J</t>
  </si>
  <si>
    <t>GKH2-63/4J</t>
  </si>
  <si>
    <t>GKH2-80/4J</t>
  </si>
  <si>
    <t>GKH2-100/4J</t>
  </si>
  <si>
    <t>GKH2-125/4J</t>
  </si>
  <si>
    <t>GKH2-160/4J</t>
  </si>
  <si>
    <t>GKH2-200/4J</t>
  </si>
  <si>
    <t>GKH2-250/4J</t>
  </si>
  <si>
    <t>GKH2-315/4J</t>
  </si>
  <si>
    <t>GKH2-400/4J</t>
  </si>
  <si>
    <t>GKH2-500/4J</t>
  </si>
  <si>
    <t>GKH2-630/4J</t>
  </si>
  <si>
    <t>GKH2-800/4J</t>
  </si>
  <si>
    <t>GKH2-1000/4J</t>
  </si>
  <si>
    <t>GKH2-1250/4J</t>
  </si>
  <si>
    <t>GKH2-1600/4J</t>
  </si>
  <si>
    <t>GKH2-2000/4J</t>
  </si>
  <si>
    <t>GKQ1-100/3</t>
  </si>
  <si>
    <t>GKQ1-160/3</t>
  </si>
  <si>
    <t>GKQ1-250/3</t>
  </si>
  <si>
    <t>GKQ1-400/3</t>
  </si>
  <si>
    <t>GKQ1-630/3</t>
  </si>
  <si>
    <t>GKQ1-1000/3</t>
  </si>
  <si>
    <t>GKQ1-1250/3</t>
  </si>
  <si>
    <t>GKQ1-1600/3</t>
  </si>
  <si>
    <t>GKQ1-2000/3</t>
  </si>
  <si>
    <t>GKQ1-2500/3</t>
  </si>
  <si>
    <t>GKQ1-3200/3</t>
  </si>
  <si>
    <t>GKQ1-100/4</t>
  </si>
  <si>
    <t>GKQ1-160/4</t>
  </si>
  <si>
    <t>GKQ1-250/4</t>
  </si>
  <si>
    <t>GKQ1-400/4</t>
  </si>
  <si>
    <t>GKQ1-630/4</t>
  </si>
  <si>
    <t>GKQ1-1000/4</t>
  </si>
  <si>
    <t>GKQ1-1250/4</t>
  </si>
  <si>
    <t>GKQ1-1600/4</t>
  </si>
  <si>
    <t>GKQ1-2000/4</t>
  </si>
  <si>
    <t>GKQ1-2500/4</t>
  </si>
  <si>
    <t>GKQ1-3200/4</t>
  </si>
  <si>
    <t>GKH1-32/1</t>
  </si>
  <si>
    <t>微型隔离开关</t>
  </si>
  <si>
    <t>GKH1-32/2</t>
  </si>
  <si>
    <t>GKH1-32/3</t>
  </si>
  <si>
    <t>GKH1-32/4</t>
  </si>
  <si>
    <t>GKH1-63/1</t>
  </si>
  <si>
    <t>GKH1-63/2</t>
  </si>
  <si>
    <t>GKH1-63/3</t>
  </si>
  <si>
    <t>GKH1-63/4</t>
  </si>
  <si>
    <t>GKH1-80/1</t>
  </si>
  <si>
    <t>GKH1-80/2</t>
  </si>
  <si>
    <t>GKH1-80/3</t>
  </si>
  <si>
    <t>GKH1-80/4</t>
  </si>
  <si>
    <t>GKH1-100/1</t>
  </si>
  <si>
    <t>GKH1-100/2</t>
  </si>
  <si>
    <t>GKH1-100/3</t>
  </si>
  <si>
    <t>GKH1-100/4</t>
  </si>
  <si>
    <t>贵州长征</t>
  </si>
  <si>
    <t>MN30-63S/3300</t>
  </si>
  <si>
    <t>MN30-400S/3300</t>
  </si>
  <si>
    <t>MN30-800S/3300 630A</t>
  </si>
  <si>
    <t>MN30-63M/3300</t>
  </si>
  <si>
    <t>MN30-400M/3300</t>
  </si>
  <si>
    <t>MN30-800M/3300 630A</t>
  </si>
  <si>
    <t>MN30-800M/3300</t>
  </si>
  <si>
    <t>MN30-63M/3310</t>
  </si>
  <si>
    <t>MN30-400M/3310</t>
  </si>
  <si>
    <t>MN30-800M/3310 630A</t>
  </si>
  <si>
    <t>MN30-800M/3310</t>
  </si>
  <si>
    <t>WR-A15/4P</t>
  </si>
  <si>
    <t>五荣电气</t>
  </si>
  <si>
    <t>WR-B80/4P</t>
  </si>
  <si>
    <t>WR-B120/4P</t>
  </si>
  <si>
    <t>WR-B150/4P</t>
  </si>
  <si>
    <t>MTK-50</t>
  </si>
  <si>
    <t>智能稳压节能器</t>
  </si>
  <si>
    <t>广州通控</t>
  </si>
  <si>
    <t>WJ3005FD</t>
  </si>
  <si>
    <t>无线防盗报警系统</t>
  </si>
  <si>
    <t>广州保瓦</t>
  </si>
  <si>
    <t>WT-3005C</t>
  </si>
  <si>
    <t>智能控制装置</t>
  </si>
  <si>
    <t>ZMZ-CS/450-10</t>
  </si>
  <si>
    <t>智能电容器</t>
  </si>
  <si>
    <t>指明集团有限公司</t>
  </si>
  <si>
    <t>ZMZ-CS/450-15</t>
  </si>
  <si>
    <t>ZMZ-CS/450-20</t>
  </si>
  <si>
    <t>ZMZ-CS/450-25</t>
  </si>
  <si>
    <t>ZMZ-CS/450-30</t>
  </si>
  <si>
    <t>ZMZ-CS/450-35</t>
  </si>
  <si>
    <t>ZMZ-CS/450-40</t>
  </si>
  <si>
    <t>ZMZ-CS/450-50</t>
  </si>
  <si>
    <t>ZMZ-CS/450-60</t>
  </si>
  <si>
    <t>ZMZ-DF/250-5</t>
  </si>
  <si>
    <t>ZMZ-DF/250-10</t>
  </si>
  <si>
    <t>ZMZ-DF/250-15</t>
  </si>
  <si>
    <t>ZMZ-DF/250-20</t>
  </si>
  <si>
    <t>ZMZ-DF/250-30</t>
  </si>
  <si>
    <t>ZMZ-DZ</t>
  </si>
  <si>
    <t>九康电气</t>
  </si>
  <si>
    <t>电容接触器</t>
  </si>
  <si>
    <t>JKXS-45/480-7</t>
  </si>
  <si>
    <t>智能抗谐波电容器</t>
  </si>
  <si>
    <t>JKXS-35/480-7</t>
  </si>
  <si>
    <t>JKXS-25/480-7</t>
  </si>
  <si>
    <t>JKXS-10/480-7</t>
  </si>
  <si>
    <t>JKXF-15/250-7</t>
  </si>
  <si>
    <t>JKXF-10/250-7</t>
  </si>
  <si>
    <t>JKXF-5/250-7</t>
  </si>
  <si>
    <t>JK-8CS/450-60</t>
  </si>
  <si>
    <t>JK-8CS/450-30</t>
  </si>
  <si>
    <t>JK-8CS/450-20</t>
  </si>
  <si>
    <t>JK-8CS/450-15</t>
  </si>
  <si>
    <t>JK-8CS/450-10</t>
  </si>
  <si>
    <t>JK-8CF/250-30</t>
  </si>
  <si>
    <t>JK-8CF/250-15</t>
  </si>
  <si>
    <t>JK-8CF/250-10</t>
  </si>
  <si>
    <t>JK-8CF/250-5</t>
  </si>
  <si>
    <t>BSMJ0.4-1-3</t>
  </si>
  <si>
    <t>BSMJ0.4-2-3</t>
  </si>
  <si>
    <t>BSMJ0.4-3-3</t>
  </si>
  <si>
    <t>BSMJ0.4-4-3</t>
  </si>
  <si>
    <t>BSMJ0.4-5-3</t>
  </si>
  <si>
    <t>BSMJ0.4-6-3</t>
  </si>
  <si>
    <t>BSMJ0.4-8-3</t>
  </si>
  <si>
    <t>BSMJ0.4-10-3</t>
  </si>
  <si>
    <t>BSMJ0.4-12-3</t>
  </si>
  <si>
    <t>BSMJ0.4-14-3</t>
  </si>
  <si>
    <t>BSMJ0.4-15-3</t>
  </si>
  <si>
    <t>BSMJ0.4-16-3</t>
  </si>
  <si>
    <t>BSMJ0.4-18-3</t>
  </si>
  <si>
    <t>BSMJ0.4-40-3</t>
  </si>
  <si>
    <t>BSMJ0.4-50-3</t>
  </si>
  <si>
    <t>BSMJ0.25-3-3YN</t>
  </si>
  <si>
    <t>BSMJ0.25-5-3YN</t>
  </si>
  <si>
    <t>BSMJ0.25-6-3YN</t>
  </si>
  <si>
    <t>BSMJ0.25-8-3YN</t>
  </si>
  <si>
    <t>BSMJ0.25-10-3YN</t>
  </si>
  <si>
    <t>BSMJ0.25-12-3YN</t>
  </si>
  <si>
    <t>BSMJ0.25-14-3YN</t>
  </si>
  <si>
    <t>BSMJ0.25-15-3YN</t>
  </si>
  <si>
    <t>BSMJ0.25-16-3YN</t>
  </si>
  <si>
    <t>BSMJ0.25-18-3YN</t>
  </si>
  <si>
    <t>BSMJ0.25-20-3YN</t>
  </si>
  <si>
    <t>BSMJ0.25-25-3YN</t>
  </si>
  <si>
    <t>BSMJ0.25-30-3YN</t>
  </si>
  <si>
    <t>JKFK-45</t>
  </si>
  <si>
    <t>复合开关</t>
  </si>
  <si>
    <t>JKFK-60</t>
  </si>
  <si>
    <t>JKFK-100</t>
  </si>
  <si>
    <t>CKSG-5-7</t>
  </si>
  <si>
    <t>电抗器</t>
  </si>
  <si>
    <t>CKSG-10-7</t>
  </si>
  <si>
    <t>CKSG-12-7</t>
  </si>
  <si>
    <t>CKSG-14-7</t>
  </si>
  <si>
    <t>CKSG-15-7</t>
  </si>
  <si>
    <t>CKSG-16-7</t>
  </si>
  <si>
    <t>CKSG-20-7</t>
  </si>
  <si>
    <t>CKSG-24-7</t>
  </si>
  <si>
    <t>CKSG-25-7</t>
  </si>
  <si>
    <t>CKSG-28-7</t>
  </si>
  <si>
    <t>CKSG-30-7</t>
  </si>
  <si>
    <t>CKSG-32-7</t>
  </si>
  <si>
    <t>CKSG-36-7</t>
  </si>
  <si>
    <t>CKSG-40-7</t>
  </si>
  <si>
    <t>CKSG-45-7</t>
  </si>
  <si>
    <t>CKSG-50-7</t>
  </si>
  <si>
    <t>CKSG-60-7</t>
  </si>
  <si>
    <t>刀熔开关</t>
  </si>
  <si>
    <t>中国人民电器</t>
  </si>
  <si>
    <t>塑壳漏电断路器</t>
  </si>
  <si>
    <t>DZ47-1P/C1A</t>
  </si>
  <si>
    <t>微型断路器</t>
  </si>
  <si>
    <t>DZ47-1P/C2A</t>
  </si>
  <si>
    <t>DZ47-1P/C3A</t>
  </si>
  <si>
    <t>DZ47-1P/C6A</t>
  </si>
  <si>
    <t>DZ47-1P/C10A</t>
  </si>
  <si>
    <t>DZ47-1P/C16A</t>
  </si>
  <si>
    <t>DZ47-1P/C20A</t>
  </si>
  <si>
    <t>DZ47-1P/C25A</t>
  </si>
  <si>
    <t>DZ47-1P/C32A</t>
  </si>
  <si>
    <t>DZ47-1P/C40A</t>
  </si>
  <si>
    <t>DZ47-1P/C50A</t>
  </si>
  <si>
    <t>DZ47-1P/C63A</t>
  </si>
  <si>
    <t>DZ47-2P/C1A</t>
  </si>
  <si>
    <t>DZ47-2P/C6A</t>
  </si>
  <si>
    <t>DZ47-2P/C10A</t>
  </si>
  <si>
    <t>DZ47-2P/C16A</t>
  </si>
  <si>
    <t>DZ47-2P/C20A</t>
  </si>
  <si>
    <t>DZ47-2P/C25A</t>
  </si>
  <si>
    <t>DZ47-2P/C32A</t>
  </si>
  <si>
    <t>DZ47-2P/C40A</t>
  </si>
  <si>
    <t>DZ47-2P/C50A</t>
  </si>
  <si>
    <t>DZ47-2P/C63A</t>
  </si>
  <si>
    <t>DZ47-3P/C6A</t>
  </si>
  <si>
    <t>DZ47-3P/C10A</t>
  </si>
  <si>
    <t>DZ47-3P/C16A</t>
  </si>
  <si>
    <t>DZ47-3P/C20A</t>
  </si>
  <si>
    <t>DZ47-3P/C25A</t>
  </si>
  <si>
    <t>DZ47-3P/C32A</t>
  </si>
  <si>
    <t>DZ47-3P/C40A</t>
  </si>
  <si>
    <t>DZ47-3P/C50A</t>
  </si>
  <si>
    <t>DZ47-3P/C63A</t>
  </si>
  <si>
    <t>DZ47-4P/C1A</t>
  </si>
  <si>
    <t>DZ47-4P/C3A</t>
  </si>
  <si>
    <t>DZ47-4P/C6A</t>
  </si>
  <si>
    <t>DZ47-4P/C10A</t>
  </si>
  <si>
    <t>DZ47-4P/C16A</t>
  </si>
  <si>
    <t>DZ47-4P/C20A</t>
  </si>
  <si>
    <t>DZ47-4P/C25A</t>
  </si>
  <si>
    <t>DZ47-4P/C32A</t>
  </si>
  <si>
    <t>DZ47-4P/C40A</t>
  </si>
  <si>
    <t>DZ47-4P/C50A</t>
  </si>
  <si>
    <t>DZ47-4P/C63A</t>
  </si>
  <si>
    <t>DZ47-1P/D1A</t>
  </si>
  <si>
    <t>DZ47-1P/D3A</t>
  </si>
  <si>
    <t>DZ47-1P/D4A</t>
  </si>
  <si>
    <t>DZ47-1P/D6A</t>
  </si>
  <si>
    <t>DZ47-1P/D10A</t>
  </si>
  <si>
    <t>DZ47-1P/D16A</t>
  </si>
  <si>
    <t>DZ47-1P/D20A</t>
  </si>
  <si>
    <t>DZ47-1P/D25A</t>
  </si>
  <si>
    <t>DZ47-1P/D32A</t>
  </si>
  <si>
    <t>DZ47-1P/D40A</t>
  </si>
  <si>
    <t>DZ47-1P/D50A</t>
  </si>
  <si>
    <t>DZ47-1P/D63A</t>
  </si>
  <si>
    <t>DZ47-2P/D1A</t>
  </si>
  <si>
    <t>DZ47-2P/D3A</t>
  </si>
  <si>
    <t>DZ47-2P/D4A</t>
  </si>
  <si>
    <t>DZ47-2P/D6A</t>
  </si>
  <si>
    <t>DZ47-2P/D10A</t>
  </si>
  <si>
    <t>DZ47-2P/D16A</t>
  </si>
  <si>
    <t>DZ47-2P/D20A</t>
  </si>
  <si>
    <t>DZ47-2P/D25A</t>
  </si>
  <si>
    <t>DZ47-2P/D32A</t>
  </si>
  <si>
    <t>DZ47-2P/D40A</t>
  </si>
  <si>
    <t>DZ47-2P/D50A</t>
  </si>
  <si>
    <t>DZ47-2P/D63A</t>
  </si>
  <si>
    <t>DZ47-3P/D1A</t>
  </si>
  <si>
    <t>DZ47-3P/D2A</t>
  </si>
  <si>
    <t>DZ47-3P/D3A</t>
  </si>
  <si>
    <t>DZ47-3P/D6A</t>
  </si>
  <si>
    <t>DZ47-3P/D10A</t>
  </si>
  <si>
    <t>DZ47-3P/D16A</t>
  </si>
  <si>
    <t>DZ47-3P/D20A</t>
  </si>
  <si>
    <t>DZ47-3P/D25A</t>
  </si>
  <si>
    <t>DZ47-3P/D32A</t>
  </si>
  <si>
    <t>DZ47-3P/D40A</t>
  </si>
  <si>
    <t>DZ47-3P/D50A</t>
  </si>
  <si>
    <t>DZ47-4P/D1A</t>
  </si>
  <si>
    <t>DZ47-4P/D3A</t>
  </si>
  <si>
    <t>DZ47-4P/D6A</t>
  </si>
  <si>
    <t>DZ47-4P/D10A</t>
  </si>
  <si>
    <t>DZ47-4P/D16A</t>
  </si>
  <si>
    <t>DZ47-4P/D20A</t>
  </si>
  <si>
    <t>DZ47-4P/D25A</t>
  </si>
  <si>
    <t>DZ47-4P/D32A</t>
  </si>
  <si>
    <t>DZ47-4P/D40A</t>
  </si>
  <si>
    <t>DZ47-4P/D50A</t>
  </si>
  <si>
    <t>DZ47LE-1N/C1A</t>
  </si>
  <si>
    <t>微型漏电断路器</t>
  </si>
  <si>
    <t>DZ47LE-1N/C2A</t>
  </si>
  <si>
    <t>DZ47LE-1N/C3A</t>
  </si>
  <si>
    <t>DZ47LE-1N/C6A</t>
  </si>
  <si>
    <t>DZ47LE-1N/C10A</t>
  </si>
  <si>
    <t>DZ47LE-1N/C16A</t>
  </si>
  <si>
    <t>DZ47LE-1N/C20A</t>
  </si>
  <si>
    <t>DZ47LE-1N/C25A</t>
  </si>
  <si>
    <t>DZ47LE-1N/C32A</t>
  </si>
  <si>
    <t>DZ47LE-2P/C1A</t>
  </si>
  <si>
    <t>DZ47LE-2P/C2A</t>
  </si>
  <si>
    <t>DZ47LE-2P/C3A</t>
  </si>
  <si>
    <t>DZ47LE-2P/C6A</t>
  </si>
  <si>
    <t>DZ47LE-2P/C10A</t>
  </si>
  <si>
    <t>DZ47LE-2P/C16A</t>
  </si>
  <si>
    <t>DZ47LE-2P/C20A</t>
  </si>
  <si>
    <t>DZ47LE-2P/C25A</t>
  </si>
  <si>
    <t>DZ47LE-2P/C32A</t>
  </si>
  <si>
    <t>DZ47LE-3P/C1A</t>
  </si>
  <si>
    <t>DZ47LE-3P/C2A</t>
  </si>
  <si>
    <t>DZ47LE-3P/C3A</t>
  </si>
  <si>
    <t>DZ47LE-3P/C6A</t>
  </si>
  <si>
    <t>DZ47LE-3P/C10A</t>
  </si>
  <si>
    <t>DZ47LE-3P/C16A</t>
  </si>
  <si>
    <t>DZ47LE-3P/C20A</t>
  </si>
  <si>
    <t>DZ47LE-3P/C25A</t>
  </si>
  <si>
    <t>DZ47LE-3P/C32A</t>
  </si>
  <si>
    <t>DZ47LE-3N/C1A</t>
  </si>
  <si>
    <t>DZ47LE-3N/C2A</t>
  </si>
  <si>
    <t>DZ47LE-3N/C3A</t>
  </si>
  <si>
    <t>DZ47LE-3N/C6A</t>
  </si>
  <si>
    <t>DZ47LE-3N/C10A</t>
  </si>
  <si>
    <t>DZ47LE-3N/C16A</t>
  </si>
  <si>
    <t>DZ47LE-3N/C20A</t>
  </si>
  <si>
    <t>DZ47LE-3N/C25A</t>
  </si>
  <si>
    <t>DZ47LE-3N/C32A</t>
  </si>
  <si>
    <t>DZ47LE-4P/C1A</t>
  </si>
  <si>
    <t>DZ47LE-4P/C2A</t>
  </si>
  <si>
    <t>DZ47LE-4P/C3A</t>
  </si>
  <si>
    <t>DZ47LE-4P/C6A</t>
  </si>
  <si>
    <t>DZ47LE-4P/C10A</t>
  </si>
  <si>
    <t>DZ47LE-4P/C16A</t>
  </si>
  <si>
    <t>DZ47LE-4P/C20A</t>
  </si>
  <si>
    <t>DZ47LE-4P/C25A</t>
  </si>
  <si>
    <t>DZ47LE-4P/C32A</t>
  </si>
  <si>
    <t>DZ47LE-1N/C40A</t>
  </si>
  <si>
    <t>DZ47LE-1N/C50A</t>
  </si>
  <si>
    <t>DZ47LE-1N/C63A</t>
  </si>
  <si>
    <t>DZ47LE-2P/C40A</t>
  </si>
  <si>
    <t>DZ47LE-2P/C50A</t>
  </si>
  <si>
    <t>DZ47LE-2P/C63A</t>
  </si>
  <si>
    <t>DZ47LE-3P/C40A</t>
  </si>
  <si>
    <t>DZ47LE-3P/C50A</t>
  </si>
  <si>
    <t>DZ47LE-3P/C63A</t>
  </si>
  <si>
    <t>DZ47LE-3N/C40A</t>
  </si>
  <si>
    <t>DZ47LE-3N/C50A</t>
  </si>
  <si>
    <t>DZ47LE-3N/C63A</t>
  </si>
  <si>
    <t>DZ47LE-4P/C40A</t>
  </si>
  <si>
    <t>DZ47LE-4P/C50A</t>
  </si>
  <si>
    <t>DZ47LE-4P/C63A</t>
  </si>
  <si>
    <t>DZ47LE-1N/D3A</t>
  </si>
  <si>
    <t>DZ47LE-1N/D6A</t>
  </si>
  <si>
    <t>DZ47LE-1N/D10A</t>
  </si>
  <si>
    <t>DZ47LE-1N/D16A</t>
  </si>
  <si>
    <t>DZ47LE-1N/D20A</t>
  </si>
  <si>
    <t>DZ47LE-1N/D25A</t>
  </si>
  <si>
    <t>DZ47LE-1N/D32A</t>
  </si>
  <si>
    <t>DZ47LE-2P/D3A</t>
  </si>
  <si>
    <t>DZ47LE-2P/D6A</t>
  </si>
  <si>
    <t>DZ47LE-2P/D10A</t>
  </si>
  <si>
    <t>DZ47LE-2P/D16A</t>
  </si>
  <si>
    <t>DZ47LE-2P/D20A</t>
  </si>
  <si>
    <t>DZ47LE-2P/D25A</t>
  </si>
  <si>
    <t>DZ47LE-2P/D32A</t>
  </si>
  <si>
    <t>DZ47LE-3P/D3A</t>
  </si>
  <si>
    <t>DZ47LE-3P/D6A</t>
  </si>
  <si>
    <t>DZ47LE-3P/D10A</t>
  </si>
  <si>
    <t>DZ47LE-3P/D16A</t>
  </si>
  <si>
    <t>DZ47LE-3P/D20A</t>
  </si>
  <si>
    <t>DZ47LE-3P/D25A</t>
  </si>
  <si>
    <t>DZ47LE-3P/D32A</t>
  </si>
  <si>
    <t>DZ47LE-3N/D3A</t>
  </si>
  <si>
    <t>DZ47LE-3N/D6A</t>
  </si>
  <si>
    <t>DZ47LE-3N/D10A</t>
  </si>
  <si>
    <t>DZ47LE-3N/D16A</t>
  </si>
  <si>
    <t>DZ47LE-3N/D20A</t>
  </si>
  <si>
    <t>DZ47LE-3N/D25A</t>
  </si>
  <si>
    <t>DZ47LE-3N/D32A</t>
  </si>
  <si>
    <t>DZ47LE-4P/D3A</t>
  </si>
  <si>
    <t>DZ47LE-4P/D6A</t>
  </si>
  <si>
    <t>DZ47LE-4P/D10A</t>
  </si>
  <si>
    <t>DZ47LE-4P/D16A</t>
  </si>
  <si>
    <t>DZ47LE-4P/D20A</t>
  </si>
  <si>
    <t>DZ47LE-4P/D25A</t>
  </si>
  <si>
    <t>DZ47LE-4P/D32A</t>
  </si>
  <si>
    <t>DZ47LE-1N/D40A</t>
  </si>
  <si>
    <t>DZ47LE-1N/D50A</t>
  </si>
  <si>
    <t>DZ47LE-1N/D63A</t>
  </si>
  <si>
    <t>DZ47LE-2P/D40A</t>
  </si>
  <si>
    <t>DZ47LE-2P/D50A</t>
  </si>
  <si>
    <t>DZ47LE-2P/D63A</t>
  </si>
  <si>
    <t>DZ47LE-3P/D40A</t>
  </si>
  <si>
    <t>DZ47LE-3P/D50A</t>
  </si>
  <si>
    <t>DZ47LE-3P/D63A</t>
  </si>
  <si>
    <t>DZ47LE-3N/D40A</t>
  </si>
  <si>
    <t>DZ47LE-3N/D50A</t>
  </si>
  <si>
    <t>DZ47LE-3N/D63A</t>
  </si>
  <si>
    <t>DZ47LE-4P/D40A</t>
  </si>
  <si>
    <t>DZ47LE-4P/D50A</t>
  </si>
  <si>
    <t>DZ47LE-4P/D63A</t>
  </si>
  <si>
    <t>HH54P</t>
  </si>
  <si>
    <t>JZC1</t>
  </si>
  <si>
    <t>KG316T</t>
  </si>
  <si>
    <t>BK-100VA</t>
  </si>
  <si>
    <t>BK-300VA</t>
  </si>
  <si>
    <t>BK-400VA</t>
  </si>
  <si>
    <t>BK-500VA</t>
  </si>
  <si>
    <t>BK-700VA</t>
  </si>
  <si>
    <t>BK-1000VA</t>
  </si>
  <si>
    <t>42L6-COS</t>
  </si>
  <si>
    <t>99T1-V</t>
  </si>
  <si>
    <t>99T1-A</t>
  </si>
  <si>
    <t>6L2-COS</t>
  </si>
  <si>
    <t>万能转换开关</t>
  </si>
  <si>
    <t>LW5-16/3</t>
  </si>
  <si>
    <t>MX+OF</t>
  </si>
  <si>
    <t>分励+辅助</t>
  </si>
  <si>
    <t>按钮</t>
  </si>
  <si>
    <t>LW8-10/2</t>
  </si>
  <si>
    <t>LW8-10/3</t>
  </si>
  <si>
    <t>电笛(铃)</t>
  </si>
  <si>
    <t>UC4-55</t>
  </si>
  <si>
    <t>UC4-75</t>
  </si>
  <si>
    <t>CJX2-09</t>
  </si>
  <si>
    <t>交流接触器</t>
  </si>
  <si>
    <t>CJX2-12</t>
  </si>
  <si>
    <t>CJX2-18</t>
  </si>
  <si>
    <t>CJX2-25</t>
  </si>
  <si>
    <t>CJX2-32</t>
  </si>
  <si>
    <t>CJX2-40</t>
  </si>
  <si>
    <t>CJX2-50</t>
  </si>
  <si>
    <t>CJX2-63</t>
  </si>
  <si>
    <t>CJX2-80</t>
  </si>
  <si>
    <t>CJX2-95</t>
  </si>
  <si>
    <t>JRS1-09</t>
  </si>
  <si>
    <t>热过载继电器</t>
  </si>
  <si>
    <t>JRS1-12</t>
  </si>
  <si>
    <t>JRS1-16</t>
  </si>
  <si>
    <t>JRS1-25</t>
  </si>
  <si>
    <t>JRS1-40</t>
  </si>
  <si>
    <t>JRS1-63</t>
  </si>
  <si>
    <t>JRS1-80</t>
  </si>
  <si>
    <t>JR36-20</t>
  </si>
  <si>
    <t>JR36-32</t>
  </si>
  <si>
    <t>JR36-63</t>
  </si>
  <si>
    <t>JR36-160</t>
  </si>
  <si>
    <t>JZ7-44</t>
  </si>
  <si>
    <t>DZ-31B</t>
  </si>
  <si>
    <t>DX-31A</t>
  </si>
  <si>
    <t>信号继电器</t>
  </si>
  <si>
    <t>DDS</t>
  </si>
  <si>
    <t>单相电度表</t>
  </si>
  <si>
    <t>未含</t>
  </si>
  <si>
    <t>DTS</t>
  </si>
  <si>
    <t>三相电度表</t>
  </si>
  <si>
    <t>DD862</t>
  </si>
  <si>
    <t>DT862</t>
  </si>
  <si>
    <t>控制与保护开关</t>
  </si>
  <si>
    <t>电气火灾监控</t>
  </si>
  <si>
    <t>电流探测器</t>
  </si>
  <si>
    <t>单相 (450单排  800双排 1000三排)</t>
  </si>
  <si>
    <t>单相1，带采集器</t>
  </si>
  <si>
    <t xml:space="preserve"> 270*450*120</t>
  </si>
  <si>
    <t>单相1，无采集器</t>
  </si>
  <si>
    <t xml:space="preserve"> 200*450*120</t>
  </si>
  <si>
    <t>三相1，带采集器</t>
  </si>
  <si>
    <t xml:space="preserve"> 330*550*140</t>
  </si>
  <si>
    <t>三相1，无采集器</t>
  </si>
  <si>
    <t>单相2</t>
  </si>
  <si>
    <t>单相3</t>
  </si>
  <si>
    <t xml:space="preserve"> 790*450*150</t>
  </si>
  <si>
    <t>单相4</t>
  </si>
  <si>
    <t xml:space="preserve"> 1026*450*150</t>
  </si>
  <si>
    <t xml:space="preserve"> 728*800*150</t>
  </si>
  <si>
    <t>单相6</t>
  </si>
  <si>
    <t xml:space="preserve"> 810*800*180</t>
  </si>
  <si>
    <t xml:space="preserve"> 890*800*180</t>
  </si>
  <si>
    <t>单相8</t>
  </si>
  <si>
    <t xml:space="preserve"> 1106*800*180</t>
  </si>
  <si>
    <t>单相9</t>
  </si>
  <si>
    <t xml:space="preserve"> 810*1000*180</t>
  </si>
  <si>
    <t xml:space="preserve"> 890*1000*180</t>
  </si>
  <si>
    <t xml:space="preserve"> 830*1000*180</t>
  </si>
  <si>
    <t xml:space="preserve"> 910*1000*180</t>
  </si>
  <si>
    <t>单相10</t>
  </si>
  <si>
    <t xml:space="preserve"> 1268*800*180</t>
  </si>
  <si>
    <t>单相12</t>
  </si>
  <si>
    <t xml:space="preserve"> 1146*1000*180</t>
  </si>
  <si>
    <t xml:space="preserve"> 1086*1000*180</t>
  </si>
  <si>
    <t xml:space="preserve"> 1166*1000*180</t>
  </si>
  <si>
    <t>单相15</t>
  </si>
  <si>
    <t xml:space="preserve"> 1208*1000*180</t>
  </si>
  <si>
    <t xml:space="preserve"> 1288*1000*180</t>
  </si>
  <si>
    <t xml:space="preserve"> 1238*1000*180</t>
  </si>
  <si>
    <t xml:space="preserve"> 1318*1000*180</t>
  </si>
  <si>
    <t>单相18 非标</t>
  </si>
  <si>
    <t xml:space="preserve"> 1450*1000*180</t>
  </si>
  <si>
    <t>三相2</t>
  </si>
  <si>
    <t>三相4</t>
  </si>
  <si>
    <t>三相6</t>
  </si>
  <si>
    <t xml:space="preserve"> 1220*1000*180</t>
  </si>
  <si>
    <t>三相8</t>
  </si>
  <si>
    <t xml:space="preserve"> 1430*1000*180</t>
  </si>
  <si>
    <t>互感器1</t>
  </si>
  <si>
    <t xml:space="preserve"> 700*1000*180</t>
  </si>
  <si>
    <t>互感器2</t>
  </si>
  <si>
    <t>HP-SRM-12</t>
  </si>
  <si>
    <t>电缆接头</t>
  </si>
  <si>
    <t>后插避雷器</t>
  </si>
  <si>
    <t>201材质</t>
  </si>
  <si>
    <t>DZ47LE-1N-C10A</t>
  </si>
  <si>
    <t>DZ47LE-1N-C16A</t>
  </si>
  <si>
    <t>DZ47LE-1N-D16A</t>
  </si>
  <si>
    <t>DZ47LE-1N-C20A</t>
  </si>
  <si>
    <t>DZ47LE-1N-D20A</t>
  </si>
  <si>
    <t>DZ47LE-1N-C25A</t>
  </si>
  <si>
    <t>DZ47LE-1N-C32A</t>
  </si>
  <si>
    <t>DZ47LE-1N-C6A</t>
  </si>
  <si>
    <t>DZ47LE-1N-C40A</t>
  </si>
  <si>
    <t>DZ47LE-1N-C50A</t>
  </si>
  <si>
    <t>DZ47LE-1N-C60A</t>
  </si>
  <si>
    <t>DZ158LE-3N/100A</t>
  </si>
  <si>
    <t>DZ158LE-3N/80A</t>
  </si>
  <si>
    <t>DZ47LE-3N-C10A</t>
  </si>
  <si>
    <t>DZ47LE-3N-C16A</t>
  </si>
  <si>
    <t>DZ47LE-3N-C20A</t>
  </si>
  <si>
    <t>DZ47LE-3N-C25A</t>
  </si>
  <si>
    <t>DZ47LE-3N-C32A</t>
  </si>
  <si>
    <t>DZ47LE-3N-D32A</t>
  </si>
  <si>
    <t>DZ47LE-3N-C40A</t>
  </si>
  <si>
    <t>DZ47LE-3N-C50A</t>
  </si>
  <si>
    <t>DZ47LE-3N-C60A</t>
  </si>
  <si>
    <t>DZ47LE-3N-D60A</t>
  </si>
  <si>
    <t>高压馈线柜</t>
    <phoneticPr fontId="25" type="noConversion"/>
  </si>
  <si>
    <t>TMY-30*5</t>
    <phoneticPr fontId="25" type="noConversion"/>
  </si>
  <si>
    <t>JKWF-24</t>
    <phoneticPr fontId="25" type="noConversion"/>
  </si>
  <si>
    <t>TMY-60*6</t>
    <phoneticPr fontId="25" type="noConversion"/>
  </si>
  <si>
    <t>GKM1-400L/3300</t>
    <phoneticPr fontId="25" type="noConversion"/>
  </si>
  <si>
    <t>浙江邦奇</t>
  </si>
  <si>
    <t>BQIR01-0416</t>
  </si>
  <si>
    <t>BQIR01-0816</t>
  </si>
  <si>
    <t>BQIR01-1216</t>
  </si>
  <si>
    <t>高压进线柜</t>
    <phoneticPr fontId="25" type="noConversion"/>
  </si>
  <si>
    <t>浙江超盛</t>
    <phoneticPr fontId="25" type="noConversion"/>
  </si>
  <si>
    <t>DXN-10Q</t>
    <phoneticPr fontId="25" type="noConversion"/>
  </si>
  <si>
    <t>JKXS-30/480-7</t>
    <phoneticPr fontId="25" type="noConversion"/>
  </si>
  <si>
    <t>6L2-A</t>
    <phoneticPr fontId="25" type="noConversion"/>
  </si>
  <si>
    <t>GKM1L-400M/4300A</t>
  </si>
  <si>
    <t>GKM1L-400M/4300B</t>
  </si>
  <si>
    <t>GKM1L-400M/4340B</t>
  </si>
  <si>
    <t>GKM1L-630M/4300A</t>
  </si>
  <si>
    <t>GKM1L-630M/4300B</t>
  </si>
  <si>
    <t>GKM1L-800M/4300A</t>
  </si>
  <si>
    <t>GKM1L-800M/4300B</t>
  </si>
  <si>
    <t>HD13BX-2000/30</t>
  </si>
  <si>
    <t>HD13BX-3000/30</t>
  </si>
  <si>
    <t>HD13BX-4000/30</t>
  </si>
  <si>
    <t>TMY-30*3</t>
    <phoneticPr fontId="25" type="noConversion"/>
  </si>
  <si>
    <t>V单元 电操 (201材质，3.0厚）</t>
  </si>
  <si>
    <t>微机保护</t>
  </si>
  <si>
    <t>KZB-200</t>
  </si>
  <si>
    <t>仪表箱</t>
  </si>
  <si>
    <t>不锈钢外箱2.0mm</t>
  </si>
  <si>
    <t>GDB-100</t>
    <phoneticPr fontId="25" type="noConversion"/>
  </si>
  <si>
    <t>HY5WZ-17/45</t>
    <phoneticPr fontId="25" type="noConversion"/>
  </si>
  <si>
    <t>施耐德电气</t>
  </si>
  <si>
    <t>智能型电力仪表</t>
  </si>
  <si>
    <t>ACR320ELH</t>
  </si>
  <si>
    <t>上海安科瑞</t>
  </si>
  <si>
    <t>氧化锌避雷器</t>
    <phoneticPr fontId="25" type="noConversion"/>
  </si>
  <si>
    <t>YH5WZ-51/134</t>
    <phoneticPr fontId="25" type="noConversion"/>
  </si>
  <si>
    <t>接地开关</t>
    <phoneticPr fontId="25" type="noConversion"/>
  </si>
  <si>
    <t>博时达</t>
    <phoneticPr fontId="25" type="noConversion"/>
  </si>
  <si>
    <t>接地连锁</t>
    <phoneticPr fontId="25" type="noConversion"/>
  </si>
  <si>
    <t>带点显示器</t>
    <phoneticPr fontId="25" type="noConversion"/>
  </si>
  <si>
    <t>DXN-10</t>
    <phoneticPr fontId="25" type="noConversion"/>
  </si>
  <si>
    <t>HO-WS1-D</t>
    <phoneticPr fontId="25" type="noConversion"/>
  </si>
  <si>
    <t>ZGS</t>
    <phoneticPr fontId="25" type="noConversion"/>
  </si>
  <si>
    <t>1#</t>
    <phoneticPr fontId="25" type="noConversion"/>
  </si>
  <si>
    <t>公式</t>
  </si>
  <si>
    <t>NXB-1P/C10A</t>
  </si>
  <si>
    <t>NXB-1P/C16A</t>
  </si>
  <si>
    <t>NXB-1P/C20A</t>
  </si>
  <si>
    <t>NXB-1P/C25A</t>
  </si>
  <si>
    <t>NXB-1P/C32A</t>
  </si>
  <si>
    <t>NXB-1P/C40A</t>
  </si>
  <si>
    <t>NXB-1P/C50A</t>
  </si>
  <si>
    <t>NXB-1P/C6A</t>
  </si>
  <si>
    <t>NXB-1P/C63A</t>
  </si>
  <si>
    <t>NXB-1P/D10A</t>
  </si>
  <si>
    <t>NXB-1P/D16A</t>
  </si>
  <si>
    <t>NXB-1P/D20A</t>
  </si>
  <si>
    <t>NXB-1P/D25A</t>
  </si>
  <si>
    <t>NXB-1P/D32A</t>
  </si>
  <si>
    <t>NXB-1P/D40A</t>
  </si>
  <si>
    <t>NXB-1P/D50A</t>
  </si>
  <si>
    <t>NXB-1P/D6A</t>
  </si>
  <si>
    <t>NXB-1P/D63A</t>
  </si>
  <si>
    <t>NXB-2P/C10A</t>
  </si>
  <si>
    <t>NXB-2P/C16A</t>
  </si>
  <si>
    <t>NXB-2P/C20A</t>
  </si>
  <si>
    <t>NXB-2P/C25A</t>
  </si>
  <si>
    <t>NXB-2P/C32A</t>
  </si>
  <si>
    <t>NXB-2P/C40A</t>
  </si>
  <si>
    <t>NXB-2P/C50A</t>
  </si>
  <si>
    <t>NXB-2P/C6A</t>
  </si>
  <si>
    <t>NXB-2P/C63A</t>
  </si>
  <si>
    <t>NXB-2P/D10A</t>
  </si>
  <si>
    <t>NXB-2P/D16A</t>
  </si>
  <si>
    <t>NXB-2P/D20A</t>
  </si>
  <si>
    <t>NXB-2P/D25A</t>
  </si>
  <si>
    <t>NXB-2P/D32A</t>
  </si>
  <si>
    <t>NXB-2P/D40A</t>
  </si>
  <si>
    <t>NXB-2P/D50A</t>
  </si>
  <si>
    <t>NXB-2P/D6A</t>
  </si>
  <si>
    <t>NXB-2P/D63A</t>
  </si>
  <si>
    <t>NXB-3P/C10A</t>
  </si>
  <si>
    <t>NXB-3P/C16A</t>
  </si>
  <si>
    <t>NXB-3P/C20A</t>
  </si>
  <si>
    <t>NXB-3P/C25A</t>
  </si>
  <si>
    <t>NXB-3P/C32A</t>
  </si>
  <si>
    <t>NXB-3P/C40A</t>
  </si>
  <si>
    <t>NXB-3P/C50A</t>
  </si>
  <si>
    <t>NXB-3P/C6A</t>
  </si>
  <si>
    <t>NXB-3P/C63A</t>
  </si>
  <si>
    <t>NXB-3P/D10A</t>
  </si>
  <si>
    <t>NXB-3P/D16A</t>
  </si>
  <si>
    <t>NXB-3P/D20A</t>
  </si>
  <si>
    <t>NXB-3P/D25A</t>
  </si>
  <si>
    <t>NXB-3P/D32A</t>
  </si>
  <si>
    <t>NXB-3P/D40A</t>
  </si>
  <si>
    <t>NXB-3P/D50A</t>
  </si>
  <si>
    <t>NXB-3P/D6A</t>
  </si>
  <si>
    <t>NXB-3P/D63A</t>
  </si>
  <si>
    <t>NXB-4P/C10A</t>
  </si>
  <si>
    <t>NXB-4P/C16A</t>
  </si>
  <si>
    <t>NXB-4P/C20A</t>
  </si>
  <si>
    <t>NXB-4P/C25A</t>
  </si>
  <si>
    <t>NXB-4P/C32A</t>
  </si>
  <si>
    <t>NXB-4P/C40A</t>
  </si>
  <si>
    <t>NXB-4P/C50A</t>
  </si>
  <si>
    <t>NXB-4P/C6A</t>
  </si>
  <si>
    <t>NXB-4P/C63A</t>
  </si>
  <si>
    <t>NXB-4P/D10A</t>
  </si>
  <si>
    <t>NXB-4P/D16A</t>
  </si>
  <si>
    <t>NXB-4P/D20A</t>
  </si>
  <si>
    <t>NXB-4P/D25A</t>
  </si>
  <si>
    <t>NXB-4P/D32A</t>
  </si>
  <si>
    <t>NXB-4P/D40A</t>
  </si>
  <si>
    <t>NXB-4P/D50A</t>
  </si>
  <si>
    <t>NXB-4P/D6A</t>
  </si>
  <si>
    <t>NXB-4P/D63A</t>
  </si>
  <si>
    <t>NXBLE-1N/C6A</t>
  </si>
  <si>
    <t>NXBLE-1N/C10A</t>
  </si>
  <si>
    <t>NXBLE-1N/C16A</t>
  </si>
  <si>
    <t>NXBLE-1N/C20A</t>
  </si>
  <si>
    <t>NXBLE-1N/C25A</t>
  </si>
  <si>
    <t>NXBLE-1N/C32A</t>
  </si>
  <si>
    <t>NXBLE-2P/C6A</t>
  </si>
  <si>
    <t>NXBLE-2P/C10A</t>
  </si>
  <si>
    <t>NXBLE-2P/C16A</t>
  </si>
  <si>
    <t>NXBLE-2P/C20A</t>
  </si>
  <si>
    <t>NXBLE-2P/C25A</t>
  </si>
  <si>
    <t>NXBLE-2P/C32A</t>
  </si>
  <si>
    <t>NXBLE-3P/C6A</t>
  </si>
  <si>
    <t>NXBLE-3P/C10A</t>
  </si>
  <si>
    <t>NXBLE-3P/C16A</t>
  </si>
  <si>
    <t>NXBLE-3P/C20A</t>
  </si>
  <si>
    <t>NXBLE-3P/C25A</t>
  </si>
  <si>
    <t>NXBLE-3P/C32A</t>
  </si>
  <si>
    <t>NXBLE-3N/C6A</t>
  </si>
  <si>
    <t>NXBLE-3N/C10A</t>
  </si>
  <si>
    <t>NXBLE-3N/C16A</t>
  </si>
  <si>
    <t>NXBLE-3N/C20A</t>
  </si>
  <si>
    <t>NXBLE-3N/C25A</t>
  </si>
  <si>
    <t>NXBLE-3N/C32A</t>
  </si>
  <si>
    <t>NXBLE-4P/C6A</t>
  </si>
  <si>
    <t>NXBLE-4P/C10A</t>
  </si>
  <si>
    <t>NXBLE-4P/C16A</t>
  </si>
  <si>
    <t>NXBLE-4P/C20A</t>
  </si>
  <si>
    <t>NXBLE-4P/C25A</t>
  </si>
  <si>
    <t>NXBLE-4P/C32A</t>
  </si>
  <si>
    <t>NXBLE-1N/C40A</t>
  </si>
  <si>
    <t>NXBLE-1N/C50A</t>
  </si>
  <si>
    <t>NXBLE-1N/C63A</t>
  </si>
  <si>
    <t>NXBLE-2P/C40A</t>
  </si>
  <si>
    <t>NXBLE-2P/C50A</t>
  </si>
  <si>
    <t>NXBLE-2P/C63A</t>
  </si>
  <si>
    <t>NXBLE-3P/C40A</t>
  </si>
  <si>
    <t>NXBLE-3P/C50A</t>
  </si>
  <si>
    <t>NXBLE-3P/C63A</t>
  </si>
  <si>
    <t>NXBLE-3N/C40A</t>
  </si>
  <si>
    <t>NXBLE-3N/C50A</t>
  </si>
  <si>
    <t>NXBLE-3N/C63A</t>
  </si>
  <si>
    <t>NXBLE-4P/C40A</t>
  </si>
  <si>
    <t>NXBLE-4P/C50A</t>
  </si>
  <si>
    <t>NXBLE-4P/C63A</t>
  </si>
  <si>
    <t>NXC-09</t>
  </si>
  <si>
    <t>NXC-12</t>
  </si>
  <si>
    <t>NXC-18</t>
  </si>
  <si>
    <t>NXC-25</t>
  </si>
  <si>
    <t>NXC-32</t>
  </si>
  <si>
    <t>NXC-40</t>
  </si>
  <si>
    <t>NXC-50</t>
  </si>
  <si>
    <t>NXC-185</t>
  </si>
  <si>
    <t>NXC-225</t>
  </si>
  <si>
    <t>NXC-265</t>
  </si>
  <si>
    <t>NXC-330</t>
  </si>
  <si>
    <t>NXC-400</t>
  </si>
  <si>
    <t>NXC-500</t>
  </si>
  <si>
    <t>NXC-630</t>
  </si>
  <si>
    <t>NXBLE-1N/D6A</t>
  </si>
  <si>
    <t>NXBLE-1N/D10A</t>
  </si>
  <si>
    <t>NXBLE-1N/D16A</t>
  </si>
  <si>
    <t>NXBLE-1N/D20A</t>
  </si>
  <si>
    <t>NXBLE-1N/D25A</t>
  </si>
  <si>
    <t>NXBLE-1N/D32A</t>
  </si>
  <si>
    <t>NXBLE-2P/D6A</t>
  </si>
  <si>
    <t>NXBLE-2P/D10A</t>
  </si>
  <si>
    <t>NXBLE-2P/D16A</t>
  </si>
  <si>
    <t>NXBLE-2P/D20A</t>
  </si>
  <si>
    <t>NXBLE-2P/D25A</t>
  </si>
  <si>
    <t>NXBLE-2P/D32A</t>
  </si>
  <si>
    <t>NXBLE-3P/D6A</t>
  </si>
  <si>
    <t>NXBLE-3P/D10A</t>
  </si>
  <si>
    <t>NXBLE-3P/D16A</t>
  </si>
  <si>
    <t>NXBLE-3P/D20A</t>
  </si>
  <si>
    <t>NXBLE-3P/D25A</t>
  </si>
  <si>
    <t>NXBLE-3P/D32A</t>
  </si>
  <si>
    <t>NXBLE-3N/D6A</t>
  </si>
  <si>
    <t>NXBLE-3N/D10A</t>
  </si>
  <si>
    <t>NXBLE-3N/D16A</t>
  </si>
  <si>
    <t>NXBLE-3N/D20A</t>
  </si>
  <si>
    <t>NXBLE-3N/D25A</t>
  </si>
  <si>
    <t>NXBLE-3N/D32A</t>
  </si>
  <si>
    <t>NXBLE-4P/D6A</t>
  </si>
  <si>
    <t>NXBLE-4P/D10A</t>
  </si>
  <si>
    <t>NXBLE-4P/D16A</t>
  </si>
  <si>
    <t>NXBLE-4P/D20A</t>
  </si>
  <si>
    <t>NXBLE-4P/D25A</t>
  </si>
  <si>
    <t>NXBLE-4P/D32A</t>
  </si>
  <si>
    <t>NXBLE-1N/D40A</t>
  </si>
  <si>
    <t>NXBLE-1N/D50A</t>
  </si>
  <si>
    <t>NXBLE-1N/D63A</t>
  </si>
  <si>
    <t>NXBLE-2P/D40A</t>
  </si>
  <si>
    <t>NXBLE-2P/D50A</t>
  </si>
  <si>
    <t>NXBLE-2P/D63A</t>
  </si>
  <si>
    <t>NXBLE-3P/D40A</t>
  </si>
  <si>
    <t>NXBLE-3P/D50A</t>
  </si>
  <si>
    <t>NXBLE-3P/D63A</t>
  </si>
  <si>
    <t>NXBLE-3N/D40A</t>
  </si>
  <si>
    <t>NXBLE-3N/D50A</t>
  </si>
  <si>
    <t>NXBLE-3N/D63A</t>
  </si>
  <si>
    <t>NXBLE-4P/D40A</t>
  </si>
  <si>
    <t>NXBLE-4P/D50A</t>
  </si>
  <si>
    <t>NXBLE-4P/D63A</t>
  </si>
  <si>
    <t>MNS-1200*1000*2200</t>
  </si>
  <si>
    <t>MNS-2.5-630A</t>
  </si>
  <si>
    <t>MNS-2.5-800A</t>
  </si>
  <si>
    <t>GCK-1200*1000*2200</t>
  </si>
  <si>
    <t>GCK-2.5-630A</t>
  </si>
  <si>
    <t>GCK-2.5-800A</t>
  </si>
  <si>
    <t>NH40-400/3W</t>
  </si>
  <si>
    <t>NH40-32/3W</t>
  </si>
  <si>
    <t>NH40-40/3W</t>
  </si>
  <si>
    <t>NH40-63/3W</t>
  </si>
  <si>
    <t>NH40-80/3W</t>
  </si>
  <si>
    <t>NH40-100/3W</t>
  </si>
  <si>
    <t>NH40-125/3W</t>
  </si>
  <si>
    <t>NH40-160/3W</t>
  </si>
  <si>
    <t>NH40-200/3W</t>
  </si>
  <si>
    <t>NH40-250/3W</t>
  </si>
  <si>
    <t>NH40-315/3W</t>
  </si>
  <si>
    <t>NH40-630/3W</t>
  </si>
  <si>
    <t>NH40-1000/3W</t>
  </si>
  <si>
    <t>NH40-1250/3W</t>
  </si>
  <si>
    <t>NH40-1600/3W</t>
  </si>
  <si>
    <t>NH40-2000/3W</t>
  </si>
  <si>
    <t>NH40-2500/3W</t>
  </si>
  <si>
    <t>NH40-3150/3W</t>
  </si>
  <si>
    <t>QKM1-400L/3300</t>
  </si>
  <si>
    <t>QKM1-630L/3300</t>
  </si>
  <si>
    <t>JDZ-10 10/0.1 0.22 0.5</t>
  </si>
  <si>
    <t>TMY-100*8</t>
    <phoneticPr fontId="25" type="noConversion"/>
  </si>
  <si>
    <t>QSA-630/3</t>
    <phoneticPr fontId="25" type="noConversion"/>
  </si>
  <si>
    <t>S13-M-800KVA 全铜</t>
    <phoneticPr fontId="25" type="noConversion"/>
  </si>
  <si>
    <t>GKW1-2000-1600M/3P 抽屉式</t>
    <phoneticPr fontId="25" type="noConversion"/>
  </si>
  <si>
    <t>LMK2-100 1500/5 0.2S</t>
    <phoneticPr fontId="25" type="noConversion"/>
  </si>
  <si>
    <t>LMK2-100 1500/5 0.5</t>
    <phoneticPr fontId="25" type="noConversion"/>
  </si>
  <si>
    <t>GKM1-630L/3300</t>
    <phoneticPr fontId="25" type="noConversion"/>
  </si>
  <si>
    <t>LMK2-40 600/5 0.5</t>
    <phoneticPr fontId="25" type="noConversion"/>
  </si>
  <si>
    <t>TMY-40*6</t>
    <phoneticPr fontId="25" type="noConversion"/>
  </si>
  <si>
    <t>HY1.5W-0.28/1.3.</t>
    <phoneticPr fontId="25" type="noConversion"/>
  </si>
  <si>
    <t>CD</t>
    <phoneticPr fontId="25" type="noConversion"/>
  </si>
  <si>
    <t>HXGN-500*1000*2000</t>
  </si>
  <si>
    <t>HXGN-650*1000*2000</t>
  </si>
  <si>
    <t>HXGN-750*1000*2000</t>
  </si>
  <si>
    <t>HXGN-750*1000*2200</t>
  </si>
  <si>
    <t>电缆分支箱</t>
    <phoneticPr fontId="25" type="noConversion"/>
  </si>
  <si>
    <t>大连二互</t>
  </si>
  <si>
    <t>LZZBJ9-10C1 5-500/5A 0.5/10P</t>
  </si>
  <si>
    <t>PMAC625H-Z</t>
  </si>
  <si>
    <t>珠海派诺</t>
  </si>
  <si>
    <t>TBB10-1200*1500*2200</t>
    <phoneticPr fontId="25" type="noConversion"/>
  </si>
  <si>
    <t>隔离开关</t>
    <phoneticPr fontId="25" type="noConversion"/>
  </si>
  <si>
    <t>GN24-12D/400A</t>
  </si>
  <si>
    <t>XKIB 300/10/6-50</t>
    <phoneticPr fontId="25" type="noConversion"/>
  </si>
  <si>
    <t>诺基亚</t>
    <phoneticPr fontId="25" type="noConversion"/>
  </si>
  <si>
    <t>电抗器+电容器</t>
    <phoneticPr fontId="25" type="noConversion"/>
  </si>
  <si>
    <t>XRNT-10/100A</t>
    <phoneticPr fontId="25" type="noConversion"/>
  </si>
  <si>
    <t>YH5WR-17/50GY</t>
  </si>
  <si>
    <t>1~8</t>
    <phoneticPr fontId="25" type="noConversion"/>
  </si>
  <si>
    <t>10KV高压开关柜</t>
    <phoneticPr fontId="25" type="noConversion"/>
  </si>
  <si>
    <t>FZN21-12/630-20 手动</t>
  </si>
  <si>
    <t>FZN21-12D/630-20 手动</t>
  </si>
  <si>
    <t>FZN21-12D/630-20 电动</t>
  </si>
  <si>
    <t>FZN21-12/630-20 电动</t>
  </si>
  <si>
    <t>KYN61-1400*3200*2600</t>
    <phoneticPr fontId="25" type="noConversion"/>
  </si>
  <si>
    <t>水平排</t>
    <phoneticPr fontId="25" type="noConversion"/>
  </si>
  <si>
    <t>接地排</t>
    <phoneticPr fontId="25" type="noConversion"/>
  </si>
  <si>
    <t>报   价   说   明</t>
    <phoneticPr fontId="25" type="noConversion"/>
  </si>
  <si>
    <t>ACR230ELH</t>
  </si>
  <si>
    <t>ACR200</t>
  </si>
  <si>
    <t>GZDW-24AH/220V 1</t>
  </si>
  <si>
    <t>直流电源屏</t>
  </si>
  <si>
    <t>GZDW-40AH/220V 1</t>
  </si>
  <si>
    <t>GZDW-65AH/220V 2</t>
  </si>
  <si>
    <t>GZDW-100AH/220V 2</t>
  </si>
  <si>
    <t>GZDW-200AH/220V 3</t>
  </si>
  <si>
    <t>BV-16mm2</t>
  </si>
  <si>
    <t>BV-25mm2</t>
  </si>
  <si>
    <t>BV-35mm2</t>
  </si>
  <si>
    <t>BV-50mm2</t>
  </si>
  <si>
    <t>BV-70mm2</t>
  </si>
  <si>
    <t>TMY-2*60*8</t>
  </si>
  <si>
    <t>TMY-2*60*10</t>
  </si>
  <si>
    <t>TMY-2*80*6</t>
  </si>
  <si>
    <t>TMY-2*80*8</t>
  </si>
  <si>
    <t>TMY-2*80*10</t>
  </si>
  <si>
    <t>TMY-2*100*6</t>
  </si>
  <si>
    <t>TMY-2*100*8</t>
  </si>
  <si>
    <t>TMY-2*100*10</t>
  </si>
  <si>
    <t>TMY-2*120*6</t>
  </si>
  <si>
    <t>TMY-2*120*8</t>
  </si>
  <si>
    <t>TMY-2*120*10</t>
  </si>
  <si>
    <t>TMY-2*125*8</t>
  </si>
  <si>
    <t>TMY-2*125*10</t>
  </si>
  <si>
    <t>TMY-2*125*12</t>
  </si>
  <si>
    <t>TMY-2*150*6</t>
  </si>
  <si>
    <t>TMY-2*150*10</t>
  </si>
  <si>
    <t>FLN36-12/630-20 手动</t>
  </si>
  <si>
    <t>FLN36-12D/630-20 手动</t>
  </si>
  <si>
    <t>FLN36-12RD/630-31.5 手动</t>
  </si>
  <si>
    <t>FLN36-12/630-20 电动</t>
  </si>
  <si>
    <t>FLN36-12D/630-20 电动</t>
  </si>
  <si>
    <t>FLN36-12RD/630-31.5 电动</t>
  </si>
  <si>
    <t>彩钢板</t>
  </si>
  <si>
    <t>C单元 电操 (201材质，3.0厚）</t>
  </si>
  <si>
    <t>325*800*1800</t>
  </si>
  <si>
    <t>PT单元 电操 (201材质，3.0厚）</t>
  </si>
  <si>
    <t>400*800*1800</t>
  </si>
  <si>
    <t>冷缩附件</t>
  </si>
  <si>
    <t>LZYT-10 三相一体式</t>
  </si>
  <si>
    <t>JSZV18A-10R</t>
  </si>
  <si>
    <t>三相一体式</t>
  </si>
  <si>
    <t>气压表</t>
  </si>
  <si>
    <t>带触点</t>
  </si>
  <si>
    <t>母线连接器</t>
  </si>
  <si>
    <t>UPS</t>
  </si>
  <si>
    <t>1000VA/1小时</t>
  </si>
  <si>
    <t>3300*1100*2200</t>
  </si>
  <si>
    <t>LZZBJ9-10 0.5/10P20</t>
    <phoneticPr fontId="25" type="noConversion"/>
  </si>
  <si>
    <t>TMY-80*8</t>
    <phoneticPr fontId="25" type="noConversion"/>
  </si>
  <si>
    <t>ACR210EL</t>
  </si>
  <si>
    <t>ACR220EL</t>
  </si>
  <si>
    <t>ACR220ELH</t>
  </si>
  <si>
    <t>ACR320EL</t>
  </si>
  <si>
    <t>ACR330ELH</t>
  </si>
  <si>
    <t>奥特莱斯</t>
  </si>
  <si>
    <t>温泉公园</t>
  </si>
  <si>
    <t>模块化电涌保护器</t>
  </si>
  <si>
    <t>施耐德万高</t>
  </si>
  <si>
    <t>电气火灾监控主机</t>
  </si>
  <si>
    <t>WEFPS-B-64</t>
  </si>
  <si>
    <t>WEFPS-B-128</t>
  </si>
  <si>
    <t>XGN-375*1000*1650</t>
  </si>
  <si>
    <t>XGN-400*1000*1650</t>
  </si>
  <si>
    <t>XGN-500*1000*1650</t>
  </si>
  <si>
    <t>XGN-650*1000*1650</t>
  </si>
  <si>
    <t>XGN-700*1000*1650</t>
  </si>
  <si>
    <t>XGN-750*1000*1650</t>
  </si>
  <si>
    <t>XGN-800*1000*1650</t>
  </si>
  <si>
    <t>XGN-900*1000*1650</t>
  </si>
  <si>
    <t>XGN-1000*1000*1650</t>
  </si>
  <si>
    <t>ACR100E</t>
  </si>
  <si>
    <t>ACR110E</t>
  </si>
  <si>
    <t>ACR110EL</t>
  </si>
  <si>
    <t>ACR120E</t>
  </si>
  <si>
    <t>ACR120EL</t>
  </si>
  <si>
    <t>LC1D09M7C</t>
  </si>
  <si>
    <t>LC1D12M7C</t>
  </si>
  <si>
    <t>LC1D18M7C</t>
  </si>
  <si>
    <t>LC1D25M7C</t>
  </si>
  <si>
    <t>LC1D32M7C</t>
  </si>
  <si>
    <t>LC1D38M7C</t>
  </si>
  <si>
    <t>LC1D40M7C</t>
  </si>
  <si>
    <t>LC1D50M7C</t>
  </si>
  <si>
    <t>LC1D65M7C</t>
  </si>
  <si>
    <t>LC1D80M7C</t>
  </si>
  <si>
    <t>LC1D95M7C</t>
  </si>
  <si>
    <t>LC1D11500M7C</t>
  </si>
  <si>
    <t>LC1D15000M7C</t>
  </si>
  <si>
    <t>LC1D17000M7C</t>
  </si>
  <si>
    <t>LC1D205M7C</t>
  </si>
  <si>
    <t>LC1D245M7C</t>
  </si>
  <si>
    <t>LC1D300M7C</t>
  </si>
  <si>
    <t>LC1D410M7C</t>
  </si>
  <si>
    <t>LC1D475M7C</t>
  </si>
  <si>
    <t>LC1D620M7C</t>
  </si>
  <si>
    <t>WG-40/3</t>
  </si>
  <si>
    <t>WG-63/3</t>
  </si>
  <si>
    <t>WG-80/3</t>
  </si>
  <si>
    <t>WG-100/3</t>
  </si>
  <si>
    <t>WG-125/3</t>
  </si>
  <si>
    <t>WG-160/3</t>
  </si>
  <si>
    <t>WG-200/3</t>
  </si>
  <si>
    <t>WG-250/3</t>
  </si>
  <si>
    <t>WG-315/3</t>
  </si>
  <si>
    <t>WG-400/3</t>
  </si>
  <si>
    <t>WG-500/3</t>
  </si>
  <si>
    <t>WG-630/3</t>
  </si>
  <si>
    <t>WG-800/3</t>
  </si>
  <si>
    <t>WG-1000/3</t>
  </si>
  <si>
    <t>WG-1250/3</t>
  </si>
  <si>
    <t>WG-1600/3</t>
  </si>
  <si>
    <t>WG-40/4</t>
  </si>
  <si>
    <t>WG-63/4</t>
  </si>
  <si>
    <t>WG-80/4</t>
  </si>
  <si>
    <t>WG-100/4</t>
  </si>
  <si>
    <t>WG-125/4</t>
  </si>
  <si>
    <t>WG-160/4</t>
  </si>
  <si>
    <t>WG-200/4</t>
  </si>
  <si>
    <t>WG-250/4</t>
  </si>
  <si>
    <t>WG-315/4</t>
  </si>
  <si>
    <t>WG-400/4</t>
  </si>
  <si>
    <t>WG-500/4</t>
  </si>
  <si>
    <t>WG-630/4</t>
  </si>
  <si>
    <t>WG-800/4</t>
  </si>
  <si>
    <t>WG-40/3W</t>
  </si>
  <si>
    <t>WG-63/3W</t>
  </si>
  <si>
    <t>WG-80/3W</t>
  </si>
  <si>
    <t>WG-100/3W</t>
  </si>
  <si>
    <t>WG-125/3W</t>
  </si>
  <si>
    <t>WG-160/3W</t>
  </si>
  <si>
    <t>WG-200/3W</t>
  </si>
  <si>
    <t>WG-250/3W</t>
  </si>
  <si>
    <t>WG-315/3W</t>
  </si>
  <si>
    <t>WG-400/3W</t>
  </si>
  <si>
    <t>WG-500/3W</t>
  </si>
  <si>
    <t>WG-630/3W</t>
  </si>
  <si>
    <t>WG-800/3W</t>
  </si>
  <si>
    <t>WG-1250/3W</t>
  </si>
  <si>
    <t>WG-1600/3W</t>
  </si>
  <si>
    <t>AH01</t>
    <phoneticPr fontId="25" type="noConversion"/>
  </si>
  <si>
    <t>HXGN-900*1000*2200</t>
    <phoneticPr fontId="25" type="noConversion"/>
  </si>
  <si>
    <t>HXGN-12/SD</t>
    <phoneticPr fontId="25" type="noConversion"/>
  </si>
  <si>
    <t>GDB-100</t>
    <phoneticPr fontId="25" type="noConversion"/>
  </si>
  <si>
    <t>LZZBJ9-10 0.5/10P20</t>
    <phoneticPr fontId="25" type="noConversion"/>
  </si>
  <si>
    <t>6L2-A</t>
    <phoneticPr fontId="25" type="noConversion"/>
  </si>
  <si>
    <t>HY5WZ-17/45</t>
    <phoneticPr fontId="25" type="noConversion"/>
  </si>
  <si>
    <t>XRNP-10/0.5A</t>
    <phoneticPr fontId="25" type="noConversion"/>
  </si>
  <si>
    <t>JDZ-10 10/0.1 0.22 0.5</t>
    <phoneticPr fontId="31" type="noConversion"/>
  </si>
  <si>
    <t>TMY-80*8</t>
    <phoneticPr fontId="25" type="noConversion"/>
  </si>
  <si>
    <t>TMY-40*4</t>
    <phoneticPr fontId="25" type="noConversion"/>
  </si>
  <si>
    <t>高压进线柜</t>
    <phoneticPr fontId="25" type="noConversion"/>
  </si>
  <si>
    <t>AH02.03</t>
    <phoneticPr fontId="25" type="noConversion"/>
  </si>
  <si>
    <t>HXGN-900*1000*2200</t>
    <phoneticPr fontId="25" type="noConversion"/>
  </si>
  <si>
    <t>HXGN-12/SXD</t>
    <phoneticPr fontId="25" type="noConversion"/>
  </si>
  <si>
    <t>VS1-12/T630-25 固定式</t>
    <phoneticPr fontId="31" type="noConversion"/>
  </si>
  <si>
    <t>一进两出</t>
    <phoneticPr fontId="31" type="noConversion"/>
  </si>
  <si>
    <t>DFW-3200*1500*2650</t>
    <phoneticPr fontId="25" type="noConversion"/>
  </si>
  <si>
    <t>TMY-40*4</t>
    <phoneticPr fontId="25" type="noConversion"/>
  </si>
  <si>
    <t>3#</t>
  </si>
  <si>
    <t>4#</t>
  </si>
  <si>
    <t>GGD-800*600*2000</t>
    <phoneticPr fontId="25" type="noConversion"/>
  </si>
  <si>
    <t>预装式变电站</t>
    <phoneticPr fontId="25" type="noConversion"/>
  </si>
  <si>
    <t>1#</t>
    <phoneticPr fontId="25" type="noConversion"/>
  </si>
  <si>
    <t>高压开闭所</t>
    <phoneticPr fontId="25" type="noConversion"/>
  </si>
  <si>
    <t>高压开闭所</t>
    <phoneticPr fontId="31" type="noConversion"/>
  </si>
  <si>
    <t>管理</t>
    <phoneticPr fontId="25" type="noConversion"/>
  </si>
  <si>
    <t>询价单位：</t>
    <phoneticPr fontId="31" type="noConversion"/>
  </si>
  <si>
    <t>NXB-1P/125A</t>
  </si>
  <si>
    <t>NXB-1P/100A</t>
  </si>
  <si>
    <t>NXB-1P/80A</t>
  </si>
  <si>
    <t>NXB-2P/100A</t>
  </si>
  <si>
    <t>NXB-2P/125A</t>
  </si>
  <si>
    <t>NXB-2P/80A</t>
  </si>
  <si>
    <t>NXB-3P/100A</t>
  </si>
  <si>
    <t>NXB-3P/125A</t>
  </si>
  <si>
    <t>NXB-3P/80A</t>
  </si>
  <si>
    <t>NXB-4P/100A</t>
  </si>
  <si>
    <t>NXB-4P/125A</t>
  </si>
  <si>
    <t>NXB-4P/80A</t>
  </si>
  <si>
    <t>NXBLE-1P/100A</t>
  </si>
  <si>
    <t>NXBLE-1P/80A</t>
  </si>
  <si>
    <t>NXBLE-2P/100A</t>
  </si>
  <si>
    <t>NXBLE-2P/80A</t>
  </si>
  <si>
    <t>NXBLE-3P/100A</t>
  </si>
  <si>
    <t>NXBLE-3P/80A</t>
  </si>
  <si>
    <t>NXBLE-3N/100A</t>
  </si>
  <si>
    <t>NXBLE-3N/80A</t>
  </si>
  <si>
    <t>NXBLE-4P/100A</t>
  </si>
  <si>
    <t>NXBLE-4P/80A</t>
  </si>
  <si>
    <t>NXB-1N/C10A</t>
  </si>
  <si>
    <t>NXB-1N/C16A</t>
  </si>
  <si>
    <t>NXB-1N/C20A</t>
  </si>
  <si>
    <t>NXB-1N/C25A</t>
  </si>
  <si>
    <t>NXB-1N/C32A</t>
  </si>
  <si>
    <t>NXB-1N/C40A</t>
  </si>
  <si>
    <t>NXB-1N/C50A</t>
  </si>
  <si>
    <t>NXB-1N/C6A</t>
  </si>
  <si>
    <t>NXB-1N/C63A</t>
  </si>
  <si>
    <t>NXB-1N/D10A</t>
  </si>
  <si>
    <t>NXB-1N/D16A</t>
  </si>
  <si>
    <t>NXB-1N/D20A</t>
  </si>
  <si>
    <t>NXB-1N/D25A</t>
  </si>
  <si>
    <t>NXB-1N/D32A</t>
  </si>
  <si>
    <t>NXB-1N/D40A</t>
  </si>
  <si>
    <t>NXB-1N/D50A</t>
  </si>
  <si>
    <t>NXB-1N/D6A</t>
  </si>
  <si>
    <t>NXB-1N/D63A</t>
  </si>
  <si>
    <t>S201-δ1.0</t>
  </si>
  <si>
    <t>S201-δ1.2</t>
  </si>
  <si>
    <t>S201-δ1.5</t>
  </si>
  <si>
    <t>S201-δ2.0</t>
  </si>
  <si>
    <t>S304-δ1.0</t>
  </si>
  <si>
    <t>S304-δ1.2</t>
  </si>
  <si>
    <t>S304-δ1.5</t>
  </si>
  <si>
    <t>S304-δ2.0</t>
  </si>
  <si>
    <t>管理</t>
    <phoneticPr fontId="25" type="noConversion"/>
  </si>
  <si>
    <t>户外环网箱</t>
    <phoneticPr fontId="31" type="noConversion"/>
  </si>
  <si>
    <t>PT+CCVVVV</t>
    <phoneticPr fontId="25" type="noConversion"/>
  </si>
  <si>
    <t>T1</t>
    <phoneticPr fontId="25" type="noConversion"/>
  </si>
  <si>
    <t>SCB11-630KVA 全铜</t>
    <phoneticPr fontId="25" type="noConversion"/>
  </si>
  <si>
    <t>iC65N-1P/C4A</t>
  </si>
  <si>
    <t>iC65N-1P/C6A</t>
  </si>
  <si>
    <t>iC65N-1P/C8A</t>
  </si>
  <si>
    <t>iC65N-1P/C10A</t>
  </si>
  <si>
    <t>iC65N-1P/C13A</t>
  </si>
  <si>
    <t>iC65N-1P/C16A</t>
  </si>
  <si>
    <t>iC65N-1P/C20A</t>
  </si>
  <si>
    <t>iC65N-1P/C25A</t>
  </si>
  <si>
    <t>iC65N-1P/C32A</t>
  </si>
  <si>
    <t>iC65N-1P/C40A</t>
  </si>
  <si>
    <t>iC65N-1P/C50A</t>
  </si>
  <si>
    <t>iC65N-1P/C63A</t>
  </si>
  <si>
    <t>iC65N-2P/C4A</t>
  </si>
  <si>
    <t>iC65N-2P/C6A</t>
  </si>
  <si>
    <t>iC65N-2P/C8A</t>
  </si>
  <si>
    <t>iC65N-2P/C10A</t>
  </si>
  <si>
    <t>iC65N-2P/C13A</t>
  </si>
  <si>
    <t>iC65N-2P/C16A</t>
  </si>
  <si>
    <t>iC65N-2P/C20A</t>
  </si>
  <si>
    <t>iC65N-2P/C25A</t>
  </si>
  <si>
    <t>iC65N-2P/C32A</t>
  </si>
  <si>
    <t>iC65N-2P/C40A</t>
  </si>
  <si>
    <t>iC65N-2P/C50A</t>
  </si>
  <si>
    <t>iC65N-2P/C63A</t>
  </si>
  <si>
    <t>iC65N-3P/C4A</t>
  </si>
  <si>
    <t>iC65N-3P/C6A</t>
  </si>
  <si>
    <t>iC65N-3P/C8A</t>
  </si>
  <si>
    <t>iC65N-3P/C10A</t>
  </si>
  <si>
    <t>iC65N-3P/C13A</t>
  </si>
  <si>
    <t>iC65N-3P/C16A</t>
  </si>
  <si>
    <t>iC65N-3P/C20A</t>
  </si>
  <si>
    <t>iC65N-3P/C25A</t>
  </si>
  <si>
    <t>iC65N-3P/C32A</t>
  </si>
  <si>
    <t>iC65N-3P/C40A</t>
  </si>
  <si>
    <t>iC65N-3P/C50A</t>
  </si>
  <si>
    <t>iC65N-3P/C63A</t>
  </si>
  <si>
    <t>iC65N-4P/C4A</t>
  </si>
  <si>
    <t>iC65N-4P/C6A</t>
  </si>
  <si>
    <t>iC65N-4P/C8A</t>
  </si>
  <si>
    <t>iC65N-4P/C10A</t>
  </si>
  <si>
    <t>iC65N-4P/C13A</t>
  </si>
  <si>
    <t>iC65N-4P/C16A</t>
  </si>
  <si>
    <t>iC65N-4P/C20A</t>
  </si>
  <si>
    <t>iC65N-4P/C25A</t>
  </si>
  <si>
    <t>iC65N-4P/C32A</t>
  </si>
  <si>
    <t>iC65N-4P/C40A</t>
  </si>
  <si>
    <t>iC65N-4P/C50A</t>
  </si>
  <si>
    <t>iC65N-4P/C63A</t>
  </si>
  <si>
    <t>iC65N-1P/D4A</t>
  </si>
  <si>
    <t>iC65N-1P/D6A</t>
  </si>
  <si>
    <t>iC65N-1P/D8A</t>
  </si>
  <si>
    <t>iC65N-1P/D10A</t>
  </si>
  <si>
    <t>iC65N-1P/D13A</t>
  </si>
  <si>
    <t>iC65N-1P/D16A</t>
  </si>
  <si>
    <t>iC65N-1P/D20A</t>
  </si>
  <si>
    <t>iC65N-1P/D25A</t>
  </si>
  <si>
    <t>iC65N-1P/D32A</t>
  </si>
  <si>
    <t>iC65N-1P/D40A</t>
  </si>
  <si>
    <t>iC65N-1P/D50A</t>
  </si>
  <si>
    <t>iC65N-1P/D63A</t>
  </si>
  <si>
    <t>iC65N-2P/D4A</t>
  </si>
  <si>
    <t>iC65N-2P/D6A</t>
  </si>
  <si>
    <t>iC65N-2P/D8A</t>
  </si>
  <si>
    <t>iC65N-2P/D10A</t>
  </si>
  <si>
    <t>iC65N-2P/D13A</t>
  </si>
  <si>
    <t>iC65N-2P/D16A</t>
  </si>
  <si>
    <t>iC65N-2P/D20A</t>
  </si>
  <si>
    <t>iC65N-2P/D25A</t>
  </si>
  <si>
    <t>iC65N-2P/D32A</t>
  </si>
  <si>
    <t>iC65N-2P/D40A</t>
  </si>
  <si>
    <t>iC65N-2P/D50A</t>
  </si>
  <si>
    <t>iC65N-2P/D63A</t>
  </si>
  <si>
    <t>iC65N-3P/D4A</t>
  </si>
  <si>
    <t>iC65N-3P/D6A</t>
  </si>
  <si>
    <t>iC65N-3P/D8A</t>
  </si>
  <si>
    <t>iC65N-3P/D10A</t>
  </si>
  <si>
    <t>iC65N-3P/D13A</t>
  </si>
  <si>
    <t>iC65N-3P/D16A</t>
  </si>
  <si>
    <t>iC65N-3P/D20A</t>
  </si>
  <si>
    <t>iC65N-3P/D25A</t>
  </si>
  <si>
    <t>iC65N-3P/D32A</t>
  </si>
  <si>
    <t>iC65N-3P/D40A</t>
  </si>
  <si>
    <t>iC65N-3P/D50A</t>
  </si>
  <si>
    <t>iC65N-3P/D63A</t>
  </si>
  <si>
    <t>iC65N-4P/D4A</t>
  </si>
  <si>
    <t>iC65N-4P/D6A</t>
  </si>
  <si>
    <t>iC65N-4P/D8A</t>
  </si>
  <si>
    <t>iC65N-4P/D10A</t>
  </si>
  <si>
    <t>iC65N-4P/D13A</t>
  </si>
  <si>
    <t>iC65N-4P/D16A</t>
  </si>
  <si>
    <t>iC65N-4P/D20A</t>
  </si>
  <si>
    <t>iC65N-4P/D25A</t>
  </si>
  <si>
    <t>iC65N-4P/D32A</t>
  </si>
  <si>
    <t>iC65N-4P/D40A</t>
  </si>
  <si>
    <t>iC65N-4P/D50A</t>
  </si>
  <si>
    <t>iC65N-4P/D63A</t>
  </si>
  <si>
    <t>iPRU 10 4P</t>
  </si>
  <si>
    <t>iPRU 20 4P</t>
  </si>
  <si>
    <t>iPRU 40 4P</t>
  </si>
  <si>
    <t>iPRU 65 4P</t>
  </si>
  <si>
    <t>iPRU 80 4P</t>
  </si>
  <si>
    <t>iPRU 100 4P</t>
  </si>
  <si>
    <t>iPRU 120 4P</t>
  </si>
  <si>
    <t>NXU-20kA/3P+N</t>
  </si>
  <si>
    <t>NXU-40kA/3P+N</t>
  </si>
  <si>
    <t>NXU-65kA/3P+N</t>
  </si>
  <si>
    <t>NXU-100kA/3P+N</t>
  </si>
  <si>
    <t>NXU-20kA/4P</t>
  </si>
  <si>
    <t>NXU-40kA/4P</t>
  </si>
  <si>
    <t>NXU-65kA/4P</t>
  </si>
  <si>
    <t>NXU-100kA/4P</t>
  </si>
  <si>
    <t>NA1-1000-1000M/3P D</t>
  </si>
  <si>
    <t>NA1-1000-400M/3P D</t>
  </si>
  <si>
    <t>NA1-1000-630M/3P D</t>
  </si>
  <si>
    <t>NA1-1000-800M/3P D</t>
  </si>
  <si>
    <t>NA1-2000-1000M/3P D</t>
  </si>
  <si>
    <t>NA1-2000-1250M/3P D</t>
  </si>
  <si>
    <t>NA1-2000-1600M/3P D</t>
  </si>
  <si>
    <t>NA1-2000-2000M/3P D</t>
  </si>
  <si>
    <t>NA1-2000-630M/3P D</t>
  </si>
  <si>
    <t>NA1-2000-800M/3P D</t>
  </si>
  <si>
    <t>NA1-3200-2500M/3P D</t>
  </si>
  <si>
    <t>NA1-3200-3200M/3P D</t>
  </si>
  <si>
    <t>NA1-4000-4000M/3P D</t>
  </si>
  <si>
    <t>NA1-1000-1000M/3P F</t>
  </si>
  <si>
    <t>NA1-1000-800M/3P F</t>
  </si>
  <si>
    <t>NA1-1000-630M/3P F</t>
  </si>
  <si>
    <t>NA1-1000-400M/3P F</t>
  </si>
  <si>
    <t>NA1-2000-1000M/3P F</t>
  </si>
  <si>
    <t>NA1-2000-1250M/3P F</t>
  </si>
  <si>
    <t>NA1-2000-1600M/3P F</t>
  </si>
  <si>
    <t>NA1-2000-2000M/3P F</t>
  </si>
  <si>
    <t>NA1-2000-630M/3P F</t>
  </si>
  <si>
    <t>NA1-2000-800M/3P F</t>
  </si>
  <si>
    <t>NA1-3200-2500M/3P F</t>
  </si>
  <si>
    <t>NA1-3200-3200M/3P F</t>
  </si>
  <si>
    <t>NA1-4000-4000M/3P F</t>
  </si>
  <si>
    <t>GKW1-2000-630M/3P D</t>
  </si>
  <si>
    <t>GKW1-2000-800M/3P D</t>
  </si>
  <si>
    <t>GKW1-2000-1000M/3P D</t>
  </si>
  <si>
    <t>GKW1-2000-1250M/3P D</t>
  </si>
  <si>
    <t>GKW1-2000-1600M/3P D</t>
  </si>
  <si>
    <t>GKW1-2000-2000M/3P D</t>
  </si>
  <si>
    <t>GKW1-2000-630M/4P D</t>
  </si>
  <si>
    <t>GKW1-2000-800M/4P D</t>
  </si>
  <si>
    <t>GKW1-2000-1000M/4P D</t>
  </si>
  <si>
    <t>GKW1-2000-1250M/4P D</t>
  </si>
  <si>
    <t>GKW1-2000-1600M/4P D</t>
  </si>
  <si>
    <t>GKW1-2000-2000M/4P D</t>
  </si>
  <si>
    <t>GKW1-3200-2000M/3P D</t>
  </si>
  <si>
    <t>GKW1-3200-2500M/3P D</t>
  </si>
  <si>
    <t>GKW1-3200-2900M/3P D</t>
  </si>
  <si>
    <t>GKW1-3200-3200M/3P D</t>
  </si>
  <si>
    <t>GKW1-3200-2000M/4P D</t>
  </si>
  <si>
    <t>GKW1-3200-2500M/4P D</t>
  </si>
  <si>
    <t>GKW1-3200-2900M/4P D</t>
  </si>
  <si>
    <t>GKW1-3200-3200M/4P D</t>
  </si>
  <si>
    <t>GKW1-4000-3200M/3P D</t>
  </si>
  <si>
    <t>GKW1-4000-3600M/3P D</t>
  </si>
  <si>
    <t>GKW1-4000-4000M/3P D</t>
  </si>
  <si>
    <t>GKW1-4000-3600M/4P D</t>
  </si>
  <si>
    <t>GKW1-4000-4000M/4P D</t>
  </si>
  <si>
    <t>GKW1-6300-4000M/3P D</t>
  </si>
  <si>
    <t>GKW1-6300-5000M/3P D</t>
  </si>
  <si>
    <t>GKW1-6300-6300M/3P D</t>
  </si>
  <si>
    <t>GKW1-6300-4000M/4P D</t>
  </si>
  <si>
    <t>GKW1-6300-5000M/4P D</t>
  </si>
  <si>
    <t>GKW1-2000-630M/3P F</t>
  </si>
  <si>
    <t>GKW1-2000-800M/3P F</t>
  </si>
  <si>
    <t>GKW1-2000-1000M/3P F</t>
  </si>
  <si>
    <t>GKW1-2000-1250M/3P F</t>
  </si>
  <si>
    <t>GKW1-2000-1600M/3P F</t>
  </si>
  <si>
    <t>GKW1-2000-2000M/3P F</t>
  </si>
  <si>
    <t>GKW1-2000-630M/4P F</t>
  </si>
  <si>
    <t>GKW1-2000-800M/4P F</t>
  </si>
  <si>
    <t>GKW1-2000-1000M/4P F</t>
  </si>
  <si>
    <t>GKW1-2000-1250M/4P F</t>
  </si>
  <si>
    <t>GKW1-2000-1600M/4P F</t>
  </si>
  <si>
    <t>GKW1-2000-2000M/4P F</t>
  </si>
  <si>
    <t>GKW1-3200-2000M/3P F</t>
  </si>
  <si>
    <t>GKW1-3200-2500M/3P F</t>
  </si>
  <si>
    <t>GKW1-3200-2900M/3P F</t>
  </si>
  <si>
    <t>GKW1-3200-3200M/3P F</t>
  </si>
  <si>
    <t>GKW1-3200-2000M/4P F</t>
  </si>
  <si>
    <t>GKW1-3200-2500M/4P F</t>
  </si>
  <si>
    <t>GKW1-3200-2900M/4P F</t>
  </si>
  <si>
    <t>GKW1-3200-3200M/4P F</t>
  </si>
  <si>
    <t>GKM1-630MP/3300 P</t>
  </si>
  <si>
    <t>GKM1-250L/3300 P</t>
  </si>
  <si>
    <t>GKM1-400L/3300 P</t>
  </si>
  <si>
    <t>GKM1-630L/3300 P</t>
  </si>
  <si>
    <t>GKM1-250M/3300 P</t>
  </si>
  <si>
    <t>GKM1-400M/3300 P</t>
  </si>
  <si>
    <t>GKM1-630M/3300 P</t>
  </si>
  <si>
    <t>GKM1-800M/3300 P</t>
  </si>
  <si>
    <t>GKM1-250L/3340 P</t>
  </si>
  <si>
    <t>GKM1-400L/3340 P</t>
  </si>
  <si>
    <t>GKM1-630L/3340 P</t>
  </si>
  <si>
    <t>GKM1-250M/3340 P</t>
  </si>
  <si>
    <t>GKM1-400M/3340 P</t>
  </si>
  <si>
    <t>GKM1-630M/3340 P</t>
  </si>
  <si>
    <t>GKM1-800M/3340 P</t>
  </si>
  <si>
    <t>MW45-2000-630M/3P D</t>
  </si>
  <si>
    <t>MW45-2000-800M/3P D</t>
  </si>
  <si>
    <t>MW45-2000-1000M/3P D</t>
  </si>
  <si>
    <t>MW45-2000-1250M/3P D</t>
  </si>
  <si>
    <t>MW45-2000-1600M/3P D</t>
  </si>
  <si>
    <t>MW45-2000-2000M/3P D</t>
  </si>
  <si>
    <t>MW45-2000-630M/4P D</t>
  </si>
  <si>
    <t>MW45-2000-800M/4P D</t>
  </si>
  <si>
    <t>MW45-2000-1000M/4P D</t>
  </si>
  <si>
    <t>MW45-2000-1250M/4P D</t>
  </si>
  <si>
    <t>MW45-2000-1600M/4P D</t>
  </si>
  <si>
    <t>MW45-2000-2000M/4P D</t>
  </si>
  <si>
    <t>MW45-3200-2000M/3P D</t>
  </si>
  <si>
    <t>MW45-3200-2500M/3P D</t>
  </si>
  <si>
    <t>MW45-3200-2900M/3P D</t>
  </si>
  <si>
    <t>MW45-3200-3200M/3P D</t>
  </si>
  <si>
    <t>MW45-3200-2000M/4P D</t>
  </si>
  <si>
    <t>MW45-3200-2500M/4P D</t>
  </si>
  <si>
    <t>MW45-3200-2900M/4P D</t>
  </si>
  <si>
    <t>MW45-3200-3200M/4P D</t>
  </si>
  <si>
    <t>MW45-6300-4000M/3P D</t>
  </si>
  <si>
    <t>MW45-6300-5000M/3P D</t>
  </si>
  <si>
    <t>MW45-6300-6300M/3P D</t>
  </si>
  <si>
    <t>MW45-6300-4000M/4P D</t>
  </si>
  <si>
    <t>MW45-6300-5000M/4P D</t>
  </si>
  <si>
    <t>有明细没有列出</t>
    <phoneticPr fontId="25" type="noConversion"/>
  </si>
  <si>
    <t>有明细表没有列出</t>
    <phoneticPr fontId="25" type="noConversion"/>
  </si>
  <si>
    <t>法定代表人或其授权代表人：</t>
  </si>
  <si>
    <t>货物名称：</t>
    <phoneticPr fontId="25" type="noConversion"/>
  </si>
  <si>
    <t>分标编号：</t>
    <phoneticPr fontId="25" type="noConversion"/>
  </si>
  <si>
    <t>项目名称：</t>
    <phoneticPr fontId="25" type="noConversion"/>
  </si>
  <si>
    <t>经 办 人：</t>
    <phoneticPr fontId="25" type="noConversion"/>
  </si>
  <si>
    <t>询价单位：</t>
    <phoneticPr fontId="25" type="noConversion"/>
  </si>
  <si>
    <r>
      <t>1、上述报价均为出厂价含税，未含现场安装调试费及运费，</t>
    </r>
    <r>
      <rPr>
        <b/>
        <sz val="10"/>
        <color rgb="FFFF0000"/>
        <rFont val="宋体"/>
        <family val="3"/>
        <charset val="134"/>
      </rPr>
      <t xml:space="preserve">未含计量仪表。
</t>
    </r>
    <r>
      <rPr>
        <sz val="10"/>
        <rFont val="宋体"/>
        <family val="3"/>
        <charset val="134"/>
      </rPr>
      <t xml:space="preserve">
2、未注明元器件按我公司常规配置，报价有效期7天。
3、以上报价仅供参考，具体以技术交底为准，如有变动需另行报价。</t>
    </r>
    <phoneticPr fontId="25" type="noConversion"/>
  </si>
  <si>
    <t>GKM1-100L/3300</t>
  </si>
  <si>
    <t>GKM1-100M/3300</t>
  </si>
  <si>
    <t>GKM2-1250H/3300</t>
  </si>
  <si>
    <t>GKM1-100MP/3300</t>
  </si>
  <si>
    <t>GKM1-400MP/3300 P</t>
  </si>
  <si>
    <t>GKM1-800MP/3340 D</t>
  </si>
  <si>
    <t>GKM1-100L/3300 P</t>
  </si>
  <si>
    <t>GKM1-100M/3300 P</t>
  </si>
  <si>
    <t>GKM1-100L/3340 P</t>
  </si>
  <si>
    <t>GKM1-100M/3340 P</t>
  </si>
  <si>
    <t>GKM1-100M/4340</t>
  </si>
  <si>
    <t>GKM1-100L/3340</t>
  </si>
  <si>
    <t>GKM1-100M/3340</t>
  </si>
  <si>
    <t>GKM1-100L/3310</t>
  </si>
  <si>
    <t>GKM1-100M/3310</t>
  </si>
  <si>
    <t>GKM1-100L/3208</t>
  </si>
  <si>
    <t>GKM1-100M/3208</t>
  </si>
  <si>
    <t>GKM1E-100M/3400</t>
  </si>
  <si>
    <t>GKM1E-250M/3400</t>
  </si>
  <si>
    <t>GKM1E-400M/3400</t>
  </si>
  <si>
    <t>GKM1E-800M/3400 630A</t>
  </si>
  <si>
    <t>GKM1E-800M/3400</t>
  </si>
  <si>
    <t>GKM2ZL-125M/3N400</t>
  </si>
  <si>
    <t>GKM2ZL-250M/3N400</t>
  </si>
  <si>
    <t>GKM2ZL-250H/3N400</t>
  </si>
  <si>
    <t>GKM2ZL-400M/3N400</t>
  </si>
  <si>
    <t>GKM2ZL-400H/3N400</t>
  </si>
  <si>
    <t>GKM2ZL-630M/3N400</t>
  </si>
  <si>
    <t>GKM2ZL-800M/3N400</t>
  </si>
  <si>
    <t>GKM1L-100M/3300</t>
  </si>
  <si>
    <t>GKM1L-100M/4300A</t>
  </si>
  <si>
    <t>GKM1L-100M/4310B</t>
  </si>
  <si>
    <t>GKM1L-100M/4300B</t>
  </si>
  <si>
    <t>GKM1L-225M/3300</t>
  </si>
  <si>
    <t>GKM1L-225M/4300A</t>
  </si>
  <si>
    <t>GKM1L-225M/4310B</t>
  </si>
  <si>
    <t>GKM1L-225M/4300B</t>
  </si>
  <si>
    <t>GKM1L-400M/3300</t>
  </si>
  <si>
    <t>GKM1L-630M/3300</t>
  </si>
  <si>
    <t>GKM1L-800M/3300</t>
  </si>
  <si>
    <t>TMY-50*5</t>
    <phoneticPr fontId="25" type="noConversion"/>
  </si>
  <si>
    <t>LMK2-80 1000/5 0.5</t>
    <phoneticPr fontId="25" type="noConversion"/>
  </si>
  <si>
    <t>GKW1-2000-630H/3P D</t>
  </si>
  <si>
    <t>GKW1-2000-800H/3P D</t>
  </si>
  <si>
    <t>GKW1-2000-1000H/3P D</t>
  </si>
  <si>
    <t>GKW1-2000-1250H/3P D</t>
  </si>
  <si>
    <t>GKW1-2000-1600H/3P D</t>
  </si>
  <si>
    <t>GKW1-2000-2000H/3P D</t>
  </si>
  <si>
    <t>GKW1-2000-630H/4P D</t>
  </si>
  <si>
    <t>GKW1-2000-800H/4P D</t>
  </si>
  <si>
    <t>GKW1-2000-1000H/4P D</t>
  </si>
  <si>
    <t>GKW1-2000-1250H/4P D</t>
  </si>
  <si>
    <t>GKW1-2000-1600H/4P D</t>
  </si>
  <si>
    <t>GKW1-2000-2000H/4P D</t>
  </si>
  <si>
    <t>GKW1-3200-2000H/3P D</t>
  </si>
  <si>
    <t>GKW1-3200-2500H/3P D</t>
  </si>
  <si>
    <t>GKW1-3200-2900H/3P D</t>
  </si>
  <si>
    <t>GKW1-3200-3200H/3P D</t>
  </si>
  <si>
    <t>GKW1-3200-2000H/4P D</t>
  </si>
  <si>
    <t>GKW1-3200-2500H/4P D</t>
  </si>
  <si>
    <t>GKW1-3200-2900H/4P D</t>
  </si>
  <si>
    <t>GKW1-3200-3200H/4P D</t>
  </si>
  <si>
    <t>GKW1-4000-3200H/3P D</t>
  </si>
  <si>
    <t>GKW1-4000-3600H/3P D</t>
  </si>
  <si>
    <t>GKW1-4000-4000H/3P D</t>
  </si>
  <si>
    <t>GKW1-4000-3600H/4P D</t>
  </si>
  <si>
    <t>GKW1-4000-4000H/4P D</t>
  </si>
  <si>
    <t>GKW1-6300-4000H/3P D</t>
  </si>
  <si>
    <t>GKW1-6300-5000H/3P D</t>
  </si>
  <si>
    <t>GKW1-6300-6300H/3P D</t>
  </si>
  <si>
    <t>GKW1-6300-4000H/4P D</t>
  </si>
  <si>
    <t>GKW1-6300-5000H/4P D</t>
  </si>
  <si>
    <t>GKW1-2000-630H/3P F</t>
  </si>
  <si>
    <t>GKW1-2000-800H/3P F</t>
  </si>
  <si>
    <t>GKW1-2000-1000H/3P F</t>
  </si>
  <si>
    <t>GKW1-2000-1250H/3P F</t>
  </si>
  <si>
    <t>GKW1-2000-1600H/3P F</t>
  </si>
  <si>
    <t>GKW1-2000-2000H/3P F</t>
  </si>
  <si>
    <t>GKW1-2000-630H/4P F</t>
  </si>
  <si>
    <t>GKW1-2000-800H/4P F</t>
  </si>
  <si>
    <t>GKW1-2000-1000H/4P F</t>
  </si>
  <si>
    <t>GKW1-2000-1250H/4P F</t>
  </si>
  <si>
    <t>GKW1-2000-1600H/4P F</t>
  </si>
  <si>
    <t>GKW1-2000-2000H/4P F</t>
  </si>
  <si>
    <t>GKW1-3200-2000H/3P F</t>
  </si>
  <si>
    <t>GKW1-3200-2500H/3P F</t>
  </si>
  <si>
    <t>GKW1-3200-2900H/3P F</t>
  </si>
  <si>
    <t>GKW1-3200-3200H/3P F</t>
  </si>
  <si>
    <t>GKW1-3200-2000H/4P F</t>
  </si>
  <si>
    <t>GKW1-3200-2500H/4P F</t>
  </si>
  <si>
    <t>GKW1-3200-2900H/4P F</t>
  </si>
  <si>
    <t>GKW1-3200-3200H/4P F</t>
  </si>
  <si>
    <t>零母排</t>
    <phoneticPr fontId="25" type="noConversion"/>
  </si>
  <si>
    <t>低压馈线柜</t>
    <phoneticPr fontId="25" type="noConversion"/>
  </si>
  <si>
    <t>高压进线柜</t>
    <phoneticPr fontId="25" type="noConversion"/>
  </si>
  <si>
    <t>G1</t>
    <phoneticPr fontId="31" type="noConversion"/>
  </si>
  <si>
    <t>隔离手车</t>
    <phoneticPr fontId="31" type="noConversion"/>
  </si>
  <si>
    <t>ZN85-40.5/630-GL</t>
    <phoneticPr fontId="31" type="noConversion"/>
  </si>
  <si>
    <t>氧化锌避雷器</t>
    <phoneticPr fontId="25" type="noConversion"/>
  </si>
  <si>
    <t>YH5WZ-51/134</t>
    <phoneticPr fontId="25" type="noConversion"/>
  </si>
  <si>
    <t>雷恩电气</t>
    <phoneticPr fontId="25" type="noConversion"/>
  </si>
  <si>
    <t>熔断器体</t>
  </si>
  <si>
    <t>XRNP1-40.5/0.5</t>
  </si>
  <si>
    <t>JDZXW-35W 0.5级</t>
  </si>
  <si>
    <t>超盛电力</t>
  </si>
  <si>
    <t>6L2-A</t>
    <phoneticPr fontId="25" type="noConversion"/>
  </si>
  <si>
    <t>雷恩电气</t>
    <phoneticPr fontId="25" type="noConversion"/>
  </si>
  <si>
    <t>CTH13A-40.5/660</t>
    <phoneticPr fontId="25" type="noConversion"/>
  </si>
  <si>
    <t>带点显示器</t>
    <phoneticPr fontId="25" type="noConversion"/>
  </si>
  <si>
    <t>DXN-10</t>
    <phoneticPr fontId="25" type="noConversion"/>
  </si>
  <si>
    <t>福一开</t>
    <phoneticPr fontId="25" type="noConversion"/>
  </si>
  <si>
    <t>HO-WS1-D</t>
    <phoneticPr fontId="25" type="noConversion"/>
  </si>
  <si>
    <t>铜管</t>
    <phoneticPr fontId="31" type="noConversion"/>
  </si>
  <si>
    <t>Φ70</t>
    <phoneticPr fontId="31" type="noConversion"/>
  </si>
  <si>
    <t>套</t>
    <phoneticPr fontId="31" type="noConversion"/>
  </si>
  <si>
    <t>35KV-60*6</t>
    <phoneticPr fontId="25" type="noConversion"/>
  </si>
  <si>
    <t>TMY-60*8</t>
    <phoneticPr fontId="25" type="noConversion"/>
  </si>
  <si>
    <t>TMY-60*8</t>
    <phoneticPr fontId="25" type="noConversion"/>
  </si>
  <si>
    <t>TMY-50*5</t>
    <phoneticPr fontId="25" type="noConversion"/>
  </si>
  <si>
    <t>G2</t>
    <phoneticPr fontId="25" type="noConversion"/>
  </si>
  <si>
    <t>ZN85-40.5/630-31.5</t>
    <phoneticPr fontId="31" type="noConversion"/>
  </si>
  <si>
    <t>GDB-300</t>
    <phoneticPr fontId="25" type="noConversion"/>
  </si>
  <si>
    <t>LZZBJ9-35 0.5/10P10</t>
    <phoneticPr fontId="25" type="noConversion"/>
  </si>
  <si>
    <t>JN22-40.5</t>
    <phoneticPr fontId="25" type="noConversion"/>
  </si>
  <si>
    <t>KYN61-JD</t>
    <phoneticPr fontId="25" type="noConversion"/>
  </si>
  <si>
    <t>福一开</t>
    <phoneticPr fontId="25" type="noConversion"/>
  </si>
  <si>
    <t>铜管</t>
    <phoneticPr fontId="31" type="noConversion"/>
  </si>
  <si>
    <t>Φ70</t>
    <phoneticPr fontId="31" type="noConversion"/>
  </si>
  <si>
    <t>套</t>
    <phoneticPr fontId="31" type="noConversion"/>
  </si>
  <si>
    <t>35KV-60*6</t>
    <phoneticPr fontId="25" type="noConversion"/>
  </si>
  <si>
    <t>TMY-100*10</t>
    <phoneticPr fontId="25" type="noConversion"/>
  </si>
  <si>
    <t>DFW-3200*3200*3000</t>
    <phoneticPr fontId="25" type="noConversion"/>
  </si>
  <si>
    <t>系数</t>
    <phoneticPr fontId="25" type="noConversion"/>
  </si>
  <si>
    <t>分标编号：</t>
    <phoneticPr fontId="25" type="noConversion"/>
  </si>
  <si>
    <t>·</t>
    <phoneticPr fontId="25" type="noConversion"/>
  </si>
  <si>
    <t>·</t>
  </si>
  <si>
    <t>10KV箱式变电站(带低压发电机进线柜）</t>
    <phoneticPr fontId="25" type="noConversion"/>
  </si>
  <si>
    <t>630KVA,欧式,硅钢片,普通,有环网柜</t>
    <phoneticPr fontId="25" type="noConversion"/>
  </si>
  <si>
    <t xml:space="preserve"> </t>
    <phoneticPr fontId="25" type="noConversion"/>
  </si>
  <si>
    <t>#</t>
  </si>
  <si>
    <t>高压充气柜</t>
  </si>
  <si>
    <t>CFF</t>
    <phoneticPr fontId="25" type="noConversion"/>
  </si>
  <si>
    <t>充气柜</t>
  </si>
  <si>
    <t>C单元 325*751*1686</t>
  </si>
  <si>
    <t>浙江南洋输配电设备有限公司</t>
    <phoneticPr fontId="25" type="noConversion"/>
  </si>
  <si>
    <t>F单元 325*751*1686</t>
  </si>
  <si>
    <t>电动部分</t>
  </si>
  <si>
    <t>AC/DC</t>
  </si>
  <si>
    <t>LZKM-10</t>
  </si>
  <si>
    <t>北京</t>
    <phoneticPr fontId="25" type="noConversion"/>
  </si>
  <si>
    <t>北京瑞奇恩互感器设备有限公司</t>
    <phoneticPr fontId="25" type="noConversion"/>
  </si>
  <si>
    <t>EKL4 带测温</t>
  </si>
  <si>
    <t>广东</t>
  </si>
  <si>
    <t>珠海市阿普顿电气有限公司</t>
    <phoneticPr fontId="25" type="noConversion"/>
  </si>
  <si>
    <t>电缆插头</t>
  </si>
  <si>
    <t>QJT-12/630A</t>
  </si>
  <si>
    <t>浙江</t>
    <phoneticPr fontId="25" type="noConversion"/>
  </si>
  <si>
    <t>三利电气科技有限公司</t>
    <phoneticPr fontId="25" type="noConversion"/>
  </si>
  <si>
    <t>BLQ-17/50</t>
  </si>
  <si>
    <t>浙江</t>
    <phoneticPr fontId="25" type="noConversion"/>
  </si>
  <si>
    <t>冷缩电缆附件</t>
  </si>
  <si>
    <t>LS-15/3.5  25-500</t>
  </si>
  <si>
    <t>直流电源</t>
  </si>
  <si>
    <t>20AH</t>
  </si>
  <si>
    <t>福建</t>
    <phoneticPr fontId="25" type="noConversion"/>
  </si>
  <si>
    <t>厦门高瑞特电气自动化有限公司</t>
    <phoneticPr fontId="25" type="noConversion"/>
  </si>
  <si>
    <t>报警气压表</t>
  </si>
  <si>
    <t>上海</t>
    <phoneticPr fontId="25" type="noConversion"/>
  </si>
  <si>
    <t>上海上芃电气有限公司</t>
    <phoneticPr fontId="25" type="noConversion"/>
  </si>
  <si>
    <t>凝露控制器</t>
  </si>
  <si>
    <t>NK-M</t>
  </si>
  <si>
    <t>福一开电气有限公司</t>
    <phoneticPr fontId="25" type="noConversion"/>
  </si>
  <si>
    <t>福一开电气有限公司</t>
    <phoneticPr fontId="25" type="noConversion"/>
  </si>
  <si>
    <t>把</t>
  </si>
  <si>
    <t>低压箱</t>
  </si>
  <si>
    <t>350高</t>
  </si>
  <si>
    <t>配网自动化</t>
    <phoneticPr fontId="25" type="noConversion"/>
  </si>
  <si>
    <t>DTU</t>
    <phoneticPr fontId="25" type="noConversion"/>
  </si>
  <si>
    <t>珠海市阿普顿电气有限公司</t>
    <phoneticPr fontId="25" type="noConversion"/>
  </si>
  <si>
    <t>套</t>
    <phoneticPr fontId="25" type="noConversion"/>
  </si>
  <si>
    <t>S13-M-630KVA 全铜</t>
    <phoneticPr fontId="25" type="noConversion"/>
  </si>
  <si>
    <t>弘乐电气有限公司</t>
  </si>
  <si>
    <t>母线</t>
    <phoneticPr fontId="25" type="noConversion"/>
  </si>
  <si>
    <t>TMY-100*8</t>
    <phoneticPr fontId="27" type="noConversion"/>
  </si>
  <si>
    <t>上海</t>
    <phoneticPr fontId="27" type="noConversion"/>
  </si>
  <si>
    <t>上海半径电力铜材有限公司</t>
    <phoneticPr fontId="27" type="noConversion"/>
  </si>
  <si>
    <t>高压母线</t>
  </si>
  <si>
    <t>YJV22</t>
    <phoneticPr fontId="27" type="noConversion"/>
  </si>
  <si>
    <t>浙江</t>
    <phoneticPr fontId="27" type="noConversion"/>
  </si>
  <si>
    <t>浙江正达交联电缆有限公司</t>
    <phoneticPr fontId="27" type="noConversion"/>
  </si>
  <si>
    <t>套</t>
    <phoneticPr fontId="27" type="noConversion"/>
  </si>
  <si>
    <t>低压进线柜</t>
  </si>
  <si>
    <t>GGD-2000*600</t>
    <phoneticPr fontId="25" type="noConversion"/>
  </si>
  <si>
    <t>HD13BX-1500/31</t>
    <phoneticPr fontId="27" type="noConversion"/>
  </si>
  <si>
    <t>GKW1-2000-1250M/3P F</t>
    <phoneticPr fontId="27" type="noConversion"/>
  </si>
  <si>
    <t>LMK2-80 1200/5 0.2S</t>
    <phoneticPr fontId="25" type="noConversion"/>
  </si>
  <si>
    <t>LMK2-80 1200/5 0.5</t>
    <phoneticPr fontId="25" type="noConversion"/>
  </si>
  <si>
    <t>LW5-16 YH3/3</t>
    <phoneticPr fontId="25" type="noConversion"/>
  </si>
  <si>
    <t>WR-A15/4P</t>
    <phoneticPr fontId="25" type="noConversion"/>
  </si>
  <si>
    <t>RT18-32/1P</t>
    <phoneticPr fontId="25" type="noConversion"/>
  </si>
  <si>
    <t>TMY-60*6</t>
    <phoneticPr fontId="27" type="noConversion"/>
  </si>
  <si>
    <t>发电机进线柜</t>
    <phoneticPr fontId="25" type="noConversion"/>
  </si>
  <si>
    <t>GKQ1-1250/4</t>
    <phoneticPr fontId="27" type="noConversion"/>
  </si>
  <si>
    <t>低压馈线柜</t>
  </si>
  <si>
    <t>GGD-800*600*2000</t>
    <phoneticPr fontId="25" type="noConversion"/>
  </si>
  <si>
    <t>HD13BX-1500/31</t>
    <phoneticPr fontId="27" type="noConversion"/>
  </si>
  <si>
    <t>GKM1E-800M/3400 630A</t>
    <phoneticPr fontId="25" type="noConversion"/>
  </si>
  <si>
    <t>GKM1E-400M/3400</t>
    <phoneticPr fontId="25" type="noConversion"/>
  </si>
  <si>
    <t>LMK2-30 400/5 0.5</t>
    <phoneticPr fontId="25" type="noConversion"/>
  </si>
  <si>
    <t>LMK2-40 600/5 0.5</t>
    <phoneticPr fontId="25" type="noConversion"/>
  </si>
  <si>
    <t>6L2-A</t>
    <phoneticPr fontId="25" type="noConversion"/>
  </si>
  <si>
    <t>TMY-50*6</t>
    <phoneticPr fontId="25" type="noConversion"/>
  </si>
  <si>
    <t>TMY-30*5</t>
    <phoneticPr fontId="25" type="noConversion"/>
  </si>
  <si>
    <t>GGD-800*600*2000</t>
    <phoneticPr fontId="25" type="noConversion"/>
  </si>
  <si>
    <t>低压电容柜</t>
  </si>
  <si>
    <t>GGJ-800*600*2000</t>
  </si>
  <si>
    <t>HD13BX-400/31</t>
    <phoneticPr fontId="25" type="noConversion"/>
  </si>
  <si>
    <t>ZMZ-CS/450-20</t>
    <phoneticPr fontId="25" type="noConversion"/>
  </si>
  <si>
    <t>ZMZ-DF/250-10</t>
    <phoneticPr fontId="25" type="noConversion"/>
  </si>
  <si>
    <t>TMY-40*4</t>
    <phoneticPr fontId="25" type="noConversion"/>
  </si>
  <si>
    <t>箱体</t>
    <phoneticPr fontId="25" type="noConversion"/>
  </si>
  <si>
    <t>GRC</t>
    <phoneticPr fontId="25" type="noConversion"/>
  </si>
  <si>
    <t>壳体W*D*H</t>
    <phoneticPr fontId="27" type="noConversion"/>
  </si>
  <si>
    <t xml:space="preserve"> 4600*2500*2650</t>
    <phoneticPr fontId="25" type="noConversion"/>
  </si>
  <si>
    <t>·</t>
    <phoneticPr fontId="25" type="noConversion"/>
  </si>
  <si>
    <t>10KV箱式变电站</t>
    <phoneticPr fontId="25" type="noConversion"/>
  </si>
  <si>
    <t>630KVA,欧式,硅钢片,普通,有环网柜</t>
    <phoneticPr fontId="25" type="noConversion"/>
  </si>
  <si>
    <t xml:space="preserve"> </t>
    <phoneticPr fontId="25" type="noConversion"/>
  </si>
  <si>
    <t>CCF</t>
    <phoneticPr fontId="25" type="noConversion"/>
  </si>
  <si>
    <t>C单元 325*751*1336</t>
  </si>
  <si>
    <t>浙江南洋输配电设备有限公司</t>
    <phoneticPr fontId="25" type="noConversion"/>
  </si>
  <si>
    <t>F单元 325*751*1336</t>
  </si>
  <si>
    <t>北京瑞奇恩互感器设备有限公司</t>
    <phoneticPr fontId="25" type="noConversion"/>
  </si>
  <si>
    <t>江山市鑫源电气有限公司</t>
    <phoneticPr fontId="25" type="noConversion"/>
  </si>
  <si>
    <t>三利电气科技有限公司</t>
    <phoneticPr fontId="25" type="noConversion"/>
  </si>
  <si>
    <t>浙江</t>
    <phoneticPr fontId="25" type="noConversion"/>
  </si>
  <si>
    <t>福一开电气有限公司</t>
  </si>
  <si>
    <t>上海上芃电气有限公司</t>
    <phoneticPr fontId="25" type="noConversion"/>
  </si>
  <si>
    <t>套</t>
    <phoneticPr fontId="25" type="noConversion"/>
  </si>
  <si>
    <t>S13-M-630KVA 全铜</t>
    <phoneticPr fontId="25" type="noConversion"/>
  </si>
  <si>
    <t>套</t>
    <phoneticPr fontId="25" type="noConversion"/>
  </si>
  <si>
    <t>母线</t>
    <phoneticPr fontId="25" type="noConversion"/>
  </si>
  <si>
    <t>TMY-100*8</t>
    <phoneticPr fontId="27" type="noConversion"/>
  </si>
  <si>
    <t>上海</t>
    <phoneticPr fontId="27" type="noConversion"/>
  </si>
  <si>
    <t>上海半径电力铜材有限公司</t>
    <phoneticPr fontId="27" type="noConversion"/>
  </si>
  <si>
    <t>YJV22</t>
    <phoneticPr fontId="27" type="noConversion"/>
  </si>
  <si>
    <t>浙江</t>
    <phoneticPr fontId="27" type="noConversion"/>
  </si>
  <si>
    <t>浙江正达交联电缆有限公司</t>
    <phoneticPr fontId="27" type="noConversion"/>
  </si>
  <si>
    <t>套</t>
    <phoneticPr fontId="27" type="noConversion"/>
  </si>
  <si>
    <t>RT18-32/1P</t>
    <phoneticPr fontId="25" type="noConversion"/>
  </si>
  <si>
    <t>浙江</t>
    <phoneticPr fontId="27" type="noConversion"/>
  </si>
  <si>
    <t>TMY-100*8</t>
    <phoneticPr fontId="27" type="noConversion"/>
  </si>
  <si>
    <t>上海</t>
    <phoneticPr fontId="27" type="noConversion"/>
  </si>
  <si>
    <t>TMY-60*6</t>
    <phoneticPr fontId="27" type="noConversion"/>
  </si>
  <si>
    <t>套</t>
    <phoneticPr fontId="25" type="noConversion"/>
  </si>
  <si>
    <t>GGD-1200*600*2000</t>
    <phoneticPr fontId="25" type="noConversion"/>
  </si>
  <si>
    <t>RDH5-630/3</t>
    <phoneticPr fontId="27" type="noConversion"/>
  </si>
  <si>
    <t>RDH5-400/3</t>
    <phoneticPr fontId="27" type="noConversion"/>
  </si>
  <si>
    <t>GKM1E-800M/3400 630A</t>
    <phoneticPr fontId="25" type="noConversion"/>
  </si>
  <si>
    <t>GKM1E-400M/3400</t>
    <phoneticPr fontId="25" type="noConversion"/>
  </si>
  <si>
    <t>TMY-50*5</t>
    <phoneticPr fontId="25" type="noConversion"/>
  </si>
  <si>
    <t>TMY-30*5</t>
    <phoneticPr fontId="25" type="noConversion"/>
  </si>
  <si>
    <t>套</t>
    <phoneticPr fontId="25" type="noConversion"/>
  </si>
  <si>
    <t>HD13BX-400/31</t>
    <phoneticPr fontId="25" type="noConversion"/>
  </si>
  <si>
    <t>LW5-16 YH3/3</t>
    <phoneticPr fontId="25" type="noConversion"/>
  </si>
  <si>
    <t>ZMZ-CS/450-15</t>
    <phoneticPr fontId="25" type="noConversion"/>
  </si>
  <si>
    <t>ZMZ-DF/250-5</t>
    <phoneticPr fontId="25" type="noConversion"/>
  </si>
  <si>
    <t>RT18-32/1P</t>
    <phoneticPr fontId="25" type="noConversion"/>
  </si>
  <si>
    <t>TMY-100*8</t>
    <phoneticPr fontId="27" type="noConversion"/>
  </si>
  <si>
    <t>TMY-60*6</t>
    <phoneticPr fontId="27" type="noConversion"/>
  </si>
  <si>
    <t>箱体</t>
    <phoneticPr fontId="25" type="noConversion"/>
  </si>
  <si>
    <t>GRC</t>
    <phoneticPr fontId="25" type="noConversion"/>
  </si>
  <si>
    <t>壳体W*D*H</t>
    <phoneticPr fontId="27" type="noConversion"/>
  </si>
  <si>
    <t xml:space="preserve"> 3900*2400*2650</t>
    <phoneticPr fontId="25" type="noConversion"/>
  </si>
  <si>
    <t>10KV箱式变电站</t>
    <phoneticPr fontId="25" type="noConversion"/>
  </si>
  <si>
    <t>500KVA,欧式,硅钢片,普通,有环网柜</t>
    <phoneticPr fontId="25" type="noConversion"/>
  </si>
  <si>
    <t xml:space="preserve"> </t>
    <phoneticPr fontId="25" type="noConversion"/>
  </si>
  <si>
    <t>上海</t>
    <phoneticPr fontId="25" type="noConversion"/>
  </si>
  <si>
    <t>上海上芃电气有限公司</t>
    <phoneticPr fontId="25" type="noConversion"/>
  </si>
  <si>
    <t>S13-M-500KVA 全铜</t>
    <phoneticPr fontId="25" type="noConversion"/>
  </si>
  <si>
    <t>母线</t>
    <phoneticPr fontId="25" type="noConversion"/>
  </si>
  <si>
    <t>TMY-80*6</t>
    <phoneticPr fontId="27" type="noConversion"/>
  </si>
  <si>
    <t>上海</t>
    <phoneticPr fontId="27" type="noConversion"/>
  </si>
  <si>
    <t>浙江</t>
    <phoneticPr fontId="27" type="noConversion"/>
  </si>
  <si>
    <t>GGD-2000*600</t>
    <phoneticPr fontId="25" type="noConversion"/>
  </si>
  <si>
    <t>HD13BX-1000/31</t>
    <phoneticPr fontId="27" type="noConversion"/>
  </si>
  <si>
    <t>GKW1-2000-1000M/3P F</t>
    <phoneticPr fontId="27" type="noConversion"/>
  </si>
  <si>
    <t>LW5-16 YH3/3</t>
    <phoneticPr fontId="25" type="noConversion"/>
  </si>
  <si>
    <t>WR-A15/4P</t>
    <phoneticPr fontId="25" type="noConversion"/>
  </si>
  <si>
    <t>TMY-80*6</t>
    <phoneticPr fontId="27" type="noConversion"/>
  </si>
  <si>
    <t>TMY-50*5</t>
    <phoneticPr fontId="27" type="noConversion"/>
  </si>
  <si>
    <t>TMY-50*5</t>
    <phoneticPr fontId="25" type="noConversion"/>
  </si>
  <si>
    <t>GGD-800*600*2000</t>
    <phoneticPr fontId="25" type="noConversion"/>
  </si>
  <si>
    <t>HD13BX-400/31</t>
    <phoneticPr fontId="25" type="noConversion"/>
  </si>
  <si>
    <t>ZMZ-CS/450-15</t>
    <phoneticPr fontId="25" type="noConversion"/>
  </si>
  <si>
    <t>TMY-40*4</t>
    <phoneticPr fontId="25" type="noConversion"/>
  </si>
  <si>
    <t>箱体</t>
    <phoneticPr fontId="25" type="noConversion"/>
  </si>
  <si>
    <t>GRC</t>
    <phoneticPr fontId="25" type="noConversion"/>
  </si>
  <si>
    <t>壳体W*D*H</t>
    <phoneticPr fontId="27" type="noConversion"/>
  </si>
  <si>
    <t xml:space="preserve"> 3900*2400*2650</t>
    <phoneticPr fontId="25" type="noConversion"/>
  </si>
  <si>
    <t>·</t>
    <phoneticPr fontId="25" type="noConversion"/>
  </si>
  <si>
    <t>10KV箱式变电站</t>
    <phoneticPr fontId="25" type="noConversion"/>
  </si>
  <si>
    <t>400KVA,欧式,硅钢片,普通,有环网柜,含DTU</t>
    <phoneticPr fontId="25" type="noConversion"/>
  </si>
  <si>
    <t>CCF</t>
    <phoneticPr fontId="25" type="noConversion"/>
  </si>
  <si>
    <t>固体柜</t>
  </si>
  <si>
    <t>PT(C)单元 500*920*1620</t>
  </si>
  <si>
    <t>浙江南洋输配电设备有限公司</t>
    <phoneticPr fontId="25" type="noConversion"/>
  </si>
  <si>
    <t>C单元 400*920*1620</t>
  </si>
  <si>
    <t>V单元 400*920*1620</t>
  </si>
  <si>
    <t>F单元 400*920*1620</t>
  </si>
  <si>
    <t>浙江南洋输配电设备有限公司</t>
    <phoneticPr fontId="25" type="noConversion"/>
  </si>
  <si>
    <t>北京</t>
    <phoneticPr fontId="25" type="noConversion"/>
  </si>
  <si>
    <t>北京瑞奇恩互感器设备有限公司</t>
    <phoneticPr fontId="25" type="noConversion"/>
  </si>
  <si>
    <t xml:space="preserve">JSZV18-10R </t>
  </si>
  <si>
    <t>浙江</t>
    <phoneticPr fontId="25" type="noConversion"/>
  </si>
  <si>
    <t>江山市鑫源电气有限公司</t>
    <phoneticPr fontId="25" type="noConversion"/>
  </si>
  <si>
    <t>三利电气科技有限公司</t>
    <phoneticPr fontId="25" type="noConversion"/>
  </si>
  <si>
    <t>母联器</t>
  </si>
  <si>
    <t>10KV 400中心距</t>
  </si>
  <si>
    <t>浙江</t>
    <phoneticPr fontId="25" type="noConversion"/>
  </si>
  <si>
    <t>福建</t>
    <phoneticPr fontId="25" type="noConversion"/>
  </si>
  <si>
    <t>厦门高瑞特电气自动化有限公司</t>
    <phoneticPr fontId="25" type="noConversion"/>
  </si>
  <si>
    <t>GRT-Y200</t>
  </si>
  <si>
    <t>福建</t>
    <phoneticPr fontId="25" type="noConversion"/>
  </si>
  <si>
    <t>DTU</t>
  </si>
  <si>
    <t>珠海市阿普顿电气有限公司</t>
    <phoneticPr fontId="25" type="noConversion"/>
  </si>
  <si>
    <t>备用熔断器</t>
  </si>
  <si>
    <t>变压器出线</t>
  </si>
  <si>
    <t>上海</t>
    <phoneticPr fontId="25" type="noConversion"/>
  </si>
  <si>
    <t>上海智广熔断器有限公司</t>
    <phoneticPr fontId="25" type="noConversion"/>
  </si>
  <si>
    <t>0.5A</t>
  </si>
  <si>
    <t>上海智广熔断器有限公司</t>
    <phoneticPr fontId="25" type="noConversion"/>
  </si>
  <si>
    <t>S13-M-400KVA 全铜</t>
    <phoneticPr fontId="25" type="noConversion"/>
  </si>
  <si>
    <t>母线</t>
    <phoneticPr fontId="25" type="noConversion"/>
  </si>
  <si>
    <t>上海半径电力铜材有限公司</t>
    <phoneticPr fontId="27" type="noConversion"/>
  </si>
  <si>
    <t>YJV22</t>
    <phoneticPr fontId="27" type="noConversion"/>
  </si>
  <si>
    <t>浙江正达交联电缆有限公司</t>
    <phoneticPr fontId="27" type="noConversion"/>
  </si>
  <si>
    <t>套</t>
    <phoneticPr fontId="27" type="noConversion"/>
  </si>
  <si>
    <t>GGD-2000*600</t>
    <phoneticPr fontId="25" type="noConversion"/>
  </si>
  <si>
    <t>HD13BX-1000/31</t>
    <phoneticPr fontId="27" type="noConversion"/>
  </si>
  <si>
    <t>GKW1-2000-800M/3P F</t>
    <phoneticPr fontId="27" type="noConversion"/>
  </si>
  <si>
    <t>LMK2-60 800/5 0.5</t>
    <phoneticPr fontId="25" type="noConversion"/>
  </si>
  <si>
    <t>TMY-40*4</t>
    <phoneticPr fontId="27" type="noConversion"/>
  </si>
  <si>
    <t>RDH5-250/3</t>
    <phoneticPr fontId="27" type="noConversion"/>
  </si>
  <si>
    <t>GKM1E-250M/3400</t>
    <phoneticPr fontId="25" type="noConversion"/>
  </si>
  <si>
    <t>TMY-25*3</t>
    <phoneticPr fontId="25" type="noConversion"/>
  </si>
  <si>
    <t>HD13BX-200/31</t>
    <phoneticPr fontId="25" type="noConversion"/>
  </si>
  <si>
    <t>LMK2-30 200/5 0.5</t>
    <phoneticPr fontId="25" type="noConversion"/>
  </si>
  <si>
    <t>ZMZ-CS/450-20</t>
    <phoneticPr fontId="25" type="noConversion"/>
  </si>
  <si>
    <t>ZMZ-DF/250-5</t>
    <phoneticPr fontId="25" type="noConversion"/>
  </si>
  <si>
    <t>TMY-20*3</t>
    <phoneticPr fontId="25" type="noConversion"/>
  </si>
  <si>
    <t>TMY-40*4</t>
    <phoneticPr fontId="27" type="noConversion"/>
  </si>
  <si>
    <t>2mm厚304不锈钢</t>
    <phoneticPr fontId="25" type="noConversion"/>
  </si>
  <si>
    <t>·</t>
    <phoneticPr fontId="25" type="noConversion"/>
  </si>
  <si>
    <t>10KV箱式变电站</t>
    <phoneticPr fontId="25" type="noConversion"/>
  </si>
  <si>
    <t>630KVA,欧式,非晶合金,普通,有环网柜</t>
    <phoneticPr fontId="25" type="noConversion"/>
  </si>
  <si>
    <t xml:space="preserve"> </t>
    <phoneticPr fontId="25" type="noConversion"/>
  </si>
  <si>
    <t>CCF</t>
    <phoneticPr fontId="25" type="noConversion"/>
  </si>
  <si>
    <t>浙江南洋输配电设备有限公司</t>
    <phoneticPr fontId="25" type="noConversion"/>
  </si>
  <si>
    <t>北京</t>
    <phoneticPr fontId="25" type="noConversion"/>
  </si>
  <si>
    <t>北京瑞奇恩互感器设备有限公司</t>
    <phoneticPr fontId="25" type="noConversion"/>
  </si>
  <si>
    <t>浙江</t>
    <phoneticPr fontId="25" type="noConversion"/>
  </si>
  <si>
    <t>江山市鑫源电气有限公司</t>
    <phoneticPr fontId="25" type="noConversion"/>
  </si>
  <si>
    <t>三利电气科技有限公司</t>
    <phoneticPr fontId="25" type="noConversion"/>
  </si>
  <si>
    <t>上海</t>
    <phoneticPr fontId="25" type="noConversion"/>
  </si>
  <si>
    <t>SBH15-M-630KVA 全铜</t>
    <phoneticPr fontId="25" type="noConversion"/>
  </si>
  <si>
    <t>GGD-1200*600*2000</t>
    <phoneticPr fontId="25" type="noConversion"/>
  </si>
  <si>
    <t>RDH5-630/3</t>
    <phoneticPr fontId="27" type="noConversion"/>
  </si>
  <si>
    <t>RDH5-400/3</t>
    <phoneticPr fontId="27" type="noConversion"/>
  </si>
  <si>
    <t>GKM1E-800M/3400 630A</t>
    <phoneticPr fontId="25" type="noConversion"/>
  </si>
  <si>
    <t>TMY-50*5</t>
    <phoneticPr fontId="25" type="noConversion"/>
  </si>
  <si>
    <t>ZMZ-CS/450-15</t>
    <phoneticPr fontId="25" type="noConversion"/>
  </si>
  <si>
    <t xml:space="preserve"> 3900*2400*2650</t>
    <phoneticPr fontId="25" type="noConversion"/>
  </si>
  <si>
    <t>630KVA,欧式,硅钢片,普通,有环网柜,含DTU</t>
    <phoneticPr fontId="25" type="noConversion"/>
  </si>
  <si>
    <t>CCF</t>
    <phoneticPr fontId="25" type="noConversion"/>
  </si>
  <si>
    <t>北京</t>
    <phoneticPr fontId="25" type="noConversion"/>
  </si>
  <si>
    <t>北京瑞奇恩互感器设备有限公司</t>
    <phoneticPr fontId="25" type="noConversion"/>
  </si>
  <si>
    <t>福建</t>
    <phoneticPr fontId="25" type="noConversion"/>
  </si>
  <si>
    <t>厦门高瑞特电气自动化有限公司</t>
    <phoneticPr fontId="25" type="noConversion"/>
  </si>
  <si>
    <t>上海智广熔断器有限公司</t>
    <phoneticPr fontId="25" type="noConversion"/>
  </si>
  <si>
    <t>套</t>
    <phoneticPr fontId="27" type="noConversion"/>
  </si>
  <si>
    <t>TMY-100*8</t>
    <phoneticPr fontId="27" type="noConversion"/>
  </si>
  <si>
    <t>TMY-100*8</t>
    <phoneticPr fontId="27" type="noConversion"/>
  </si>
  <si>
    <t>TMY-60*6</t>
    <phoneticPr fontId="27" type="noConversion"/>
  </si>
  <si>
    <t>GGD-1200*600*2000</t>
    <phoneticPr fontId="25" type="noConversion"/>
  </si>
  <si>
    <t>RDH5-630/3</t>
    <phoneticPr fontId="27" type="noConversion"/>
  </si>
  <si>
    <t>RDH5-400/3</t>
    <phoneticPr fontId="27" type="noConversion"/>
  </si>
  <si>
    <t>GKM1E-800M/3400 630A</t>
    <phoneticPr fontId="25" type="noConversion"/>
  </si>
  <si>
    <t>GKM1E-400M/3400</t>
    <phoneticPr fontId="25" type="noConversion"/>
  </si>
  <si>
    <t>TMY-50*5</t>
    <phoneticPr fontId="25" type="noConversion"/>
  </si>
  <si>
    <t>TMY-30*5</t>
    <phoneticPr fontId="25" type="noConversion"/>
  </si>
  <si>
    <t>TMY-60*6</t>
    <phoneticPr fontId="27" type="noConversion"/>
  </si>
  <si>
    <t>套</t>
    <phoneticPr fontId="25" type="noConversion"/>
  </si>
  <si>
    <t>ZMZ-DF/250-5</t>
    <phoneticPr fontId="25" type="noConversion"/>
  </si>
  <si>
    <t>2mm厚304不锈钢</t>
    <phoneticPr fontId="25" type="noConversion"/>
  </si>
  <si>
    <t>HXGN-400*900*2200</t>
  </si>
  <si>
    <t>HXGN-500*900*2200</t>
  </si>
  <si>
    <t>HXGN-650*900*2200</t>
  </si>
  <si>
    <t>HXGN-700*900*2200</t>
  </si>
  <si>
    <t>HXGN-750*900*2200</t>
  </si>
  <si>
    <t>HXGN-800*900*2200</t>
  </si>
  <si>
    <t>HXGN-400*900*2000</t>
  </si>
  <si>
    <t>HXGN-500*900*2000</t>
  </si>
  <si>
    <t>HXGN-650*900*2000</t>
  </si>
  <si>
    <t>HXGN-700*900*2000</t>
  </si>
  <si>
    <t>HXGN-750*900*2000</t>
  </si>
  <si>
    <t>HXGN-800*900*2000</t>
  </si>
  <si>
    <t>HXGN-900*900*2000</t>
  </si>
  <si>
    <t>XRNP-10/0.5A</t>
    <phoneticPr fontId="31" type="noConversion"/>
  </si>
  <si>
    <t>低压进线柜</t>
    <phoneticPr fontId="25" type="noConversion"/>
  </si>
  <si>
    <t>LMK2-80 1000/5 0.2S</t>
    <phoneticPr fontId="25" type="noConversion"/>
  </si>
  <si>
    <t>AD16-22D</t>
    <phoneticPr fontId="25" type="noConversion"/>
  </si>
  <si>
    <t>LA39-11</t>
    <phoneticPr fontId="25" type="noConversion"/>
  </si>
  <si>
    <t>低压电容柜</t>
    <phoneticPr fontId="25" type="noConversion"/>
  </si>
  <si>
    <t>HD13BX-600/31</t>
    <phoneticPr fontId="25" type="noConversion"/>
  </si>
  <si>
    <t>HY1.5W-0.28/1.3</t>
    <phoneticPr fontId="25" type="noConversion"/>
  </si>
  <si>
    <t>TMY-15*3</t>
    <phoneticPr fontId="25" type="noConversion"/>
  </si>
  <si>
    <t>HD13BX-1500/31</t>
    <phoneticPr fontId="25" type="noConversion"/>
  </si>
  <si>
    <t>HD13BX-1000/31</t>
    <phoneticPr fontId="25" type="noConversion"/>
  </si>
  <si>
    <t>LMK2-60 600/5 0.2S</t>
    <phoneticPr fontId="25" type="noConversion"/>
  </si>
  <si>
    <t>LMK2-60 800/5 0.2S</t>
    <phoneticPr fontId="25" type="noConversion"/>
  </si>
  <si>
    <t>TLMY-10*3</t>
  </si>
  <si>
    <t>TLMY-15*3</t>
  </si>
  <si>
    <t>TLMY-20*3</t>
  </si>
  <si>
    <t>TLMY-20*4</t>
  </si>
  <si>
    <t>TLMY-20*5</t>
  </si>
  <si>
    <t>TLMY-25*3</t>
  </si>
  <si>
    <t>TLMY-25*4</t>
  </si>
  <si>
    <t>TLMY-25*5</t>
  </si>
  <si>
    <t>TLMY-25*6</t>
  </si>
  <si>
    <t>TLMY-25*10</t>
  </si>
  <si>
    <t>TLMY-30*3</t>
  </si>
  <si>
    <t>TLMY-30*4</t>
  </si>
  <si>
    <t>TLMY-30*5</t>
  </si>
  <si>
    <t>TLMY-30*6</t>
  </si>
  <si>
    <t>TLMY-30*8</t>
  </si>
  <si>
    <t>TLMY-30*10</t>
  </si>
  <si>
    <t>TLMY-40*4</t>
  </si>
  <si>
    <t>TLMY-40*5</t>
  </si>
  <si>
    <t>TLMY-40*6</t>
  </si>
  <si>
    <t>TLMY-40*8</t>
  </si>
  <si>
    <t>TLMY-40*10</t>
  </si>
  <si>
    <t>TLMY-50*4</t>
  </si>
  <si>
    <t>TLMY-50*5</t>
  </si>
  <si>
    <t>TLMY-50*6</t>
  </si>
  <si>
    <t>TLMY-50*8</t>
  </si>
  <si>
    <t>TLMY-50*10</t>
  </si>
  <si>
    <t>TLMY-60*4</t>
  </si>
  <si>
    <t>TLMY-60*5</t>
  </si>
  <si>
    <t>TLMY-60*6</t>
  </si>
  <si>
    <t>TLMY-60*8</t>
  </si>
  <si>
    <t>TLMY-60*10</t>
  </si>
  <si>
    <t>TLMY-80*6</t>
  </si>
  <si>
    <t>TLMY-80*8</t>
  </si>
  <si>
    <t>TLMY-80*10</t>
  </si>
  <si>
    <t>TLMY-100*6</t>
  </si>
  <si>
    <t>TLMY-100*8</t>
  </si>
  <si>
    <t>TLMY-100*10</t>
  </si>
  <si>
    <t>TLMY-120*6</t>
  </si>
  <si>
    <t>TLMY-120*8</t>
  </si>
  <si>
    <t>TLMY-120*10</t>
  </si>
  <si>
    <t>TLMY-125*8</t>
  </si>
  <si>
    <t>TLMY-125*10</t>
  </si>
  <si>
    <t>TLMY-125*12</t>
  </si>
  <si>
    <t>TLMY-150*6</t>
  </si>
  <si>
    <t>TLMY-150*10</t>
  </si>
  <si>
    <t>TLMY-2*60*6</t>
  </si>
  <si>
    <t>TLMY-2*60*8</t>
  </si>
  <si>
    <t>TLMY-2*60*10</t>
  </si>
  <si>
    <t>TLMY-2*80*6</t>
  </si>
  <si>
    <t>TLMY-2*80*8</t>
  </si>
  <si>
    <t>TLMY-2*80*10</t>
  </si>
  <si>
    <t>TLMY-2*100*6</t>
  </si>
  <si>
    <t>TLMY-2*100*8</t>
  </si>
  <si>
    <t>TLMY-2*100*10</t>
  </si>
  <si>
    <t>TLMY-2*120*6</t>
  </si>
  <si>
    <t>TLMY-2*120*8</t>
  </si>
  <si>
    <t>TLMY-2*120*10</t>
  </si>
  <si>
    <t>TLMY-2*125*8</t>
  </si>
  <si>
    <t>TLMY-2*125*10</t>
  </si>
  <si>
    <t>TLMY-2*125*12</t>
  </si>
  <si>
    <t>TLMY-2*150*6</t>
  </si>
  <si>
    <t>TLMY-2*150*10</t>
  </si>
  <si>
    <t>TLMY-3*120*10</t>
  </si>
  <si>
    <t>TLMY-3*125*10</t>
  </si>
  <si>
    <t>交流微型断路器</t>
  </si>
  <si>
    <t>1AH1</t>
    <phoneticPr fontId="25" type="noConversion"/>
  </si>
  <si>
    <t>HXGN-500*900*2000</t>
    <phoneticPr fontId="25" type="noConversion"/>
  </si>
  <si>
    <t>1AH2</t>
    <phoneticPr fontId="25" type="noConversion"/>
  </si>
  <si>
    <t>HXGN-800*900*2000</t>
    <phoneticPr fontId="25" type="noConversion"/>
  </si>
  <si>
    <t>XRNT-10/80A</t>
    <phoneticPr fontId="31" type="noConversion"/>
  </si>
  <si>
    <t>SCB11-630KVA 全铝</t>
    <phoneticPr fontId="25" type="noConversion"/>
  </si>
  <si>
    <t>1AA1</t>
    <phoneticPr fontId="25" type="noConversion"/>
  </si>
  <si>
    <t>GKW1-2000-1250M/3P F</t>
    <phoneticPr fontId="25" type="noConversion"/>
  </si>
  <si>
    <t>1AA2</t>
    <phoneticPr fontId="25" type="noConversion"/>
  </si>
  <si>
    <t>LMK2-40 400/5 0.5</t>
    <phoneticPr fontId="25" type="noConversion"/>
  </si>
  <si>
    <t>RPCF-16</t>
    <phoneticPr fontId="31" type="noConversion"/>
  </si>
  <si>
    <t>1AA3</t>
    <phoneticPr fontId="25" type="noConversion"/>
  </si>
  <si>
    <t>GKM1-400L/3300</t>
    <phoneticPr fontId="31" type="noConversion"/>
  </si>
  <si>
    <t>GKM1-100L/3300</t>
    <phoneticPr fontId="31" type="noConversion"/>
  </si>
  <si>
    <t>YBP-4000*2300*2650</t>
    <phoneticPr fontId="25" type="noConversion"/>
  </si>
  <si>
    <t>3AH1</t>
    <phoneticPr fontId="25" type="noConversion"/>
  </si>
  <si>
    <t>3AH2</t>
    <phoneticPr fontId="25" type="noConversion"/>
  </si>
  <si>
    <t>SCB11-400KVA 全铝</t>
    <phoneticPr fontId="25" type="noConversion"/>
  </si>
  <si>
    <t>3AA1</t>
    <phoneticPr fontId="25" type="noConversion"/>
  </si>
  <si>
    <t>GKW1-2000-630M/3P F</t>
    <phoneticPr fontId="25" type="noConversion"/>
  </si>
  <si>
    <t>LMK2-60 600/5 0.5</t>
    <phoneticPr fontId="25" type="noConversion"/>
  </si>
  <si>
    <t>3AA2</t>
    <phoneticPr fontId="25" type="noConversion"/>
  </si>
  <si>
    <t>JK-8CS/450-20</t>
    <phoneticPr fontId="31" type="noConversion"/>
  </si>
  <si>
    <t>3AA3</t>
    <phoneticPr fontId="25" type="noConversion"/>
  </si>
  <si>
    <t>GGD-1000*600*2000</t>
    <phoneticPr fontId="25" type="noConversion"/>
  </si>
  <si>
    <t>YBP-3300*2200*2650</t>
    <phoneticPr fontId="25" type="noConversion"/>
  </si>
  <si>
    <t>4AH1</t>
    <phoneticPr fontId="25" type="noConversion"/>
  </si>
  <si>
    <t>4AH2</t>
    <phoneticPr fontId="25" type="noConversion"/>
  </si>
  <si>
    <t>4AA1</t>
    <phoneticPr fontId="25" type="noConversion"/>
  </si>
  <si>
    <t>4AA2</t>
    <phoneticPr fontId="25" type="noConversion"/>
  </si>
  <si>
    <t>JK-8CS/450-30</t>
    <phoneticPr fontId="31" type="noConversion"/>
  </si>
  <si>
    <t>4AA3.4</t>
    <phoneticPr fontId="25" type="noConversion"/>
  </si>
  <si>
    <t>LMK2-60 1000/5 0.5</t>
    <phoneticPr fontId="25" type="noConversion"/>
  </si>
  <si>
    <t>YBP-4400*2300*2650</t>
    <phoneticPr fontId="25" type="noConversion"/>
  </si>
  <si>
    <t>5AH1</t>
    <phoneticPr fontId="25" type="noConversion"/>
  </si>
  <si>
    <t>5#</t>
  </si>
  <si>
    <t>5AH2</t>
    <phoneticPr fontId="25" type="noConversion"/>
  </si>
  <si>
    <t>5AA1</t>
    <phoneticPr fontId="25" type="noConversion"/>
  </si>
  <si>
    <t>5AA2</t>
    <phoneticPr fontId="25" type="noConversion"/>
  </si>
  <si>
    <t>5AA3.4</t>
    <phoneticPr fontId="25" type="noConversion"/>
  </si>
  <si>
    <t>6AH1</t>
    <phoneticPr fontId="25" type="noConversion"/>
  </si>
  <si>
    <t>6#</t>
  </si>
  <si>
    <t>6AH2</t>
    <phoneticPr fontId="25" type="noConversion"/>
  </si>
  <si>
    <t>6AA1</t>
    <phoneticPr fontId="25" type="noConversion"/>
  </si>
  <si>
    <t>6AA2</t>
    <phoneticPr fontId="25" type="noConversion"/>
  </si>
  <si>
    <t>6AA3</t>
    <phoneticPr fontId="25" type="noConversion"/>
  </si>
  <si>
    <t>YBP-3700*2200*2650</t>
    <phoneticPr fontId="25" type="noConversion"/>
  </si>
  <si>
    <t>7AH1</t>
    <phoneticPr fontId="25" type="noConversion"/>
  </si>
  <si>
    <t>7#</t>
  </si>
  <si>
    <t>7AH2</t>
    <phoneticPr fontId="25" type="noConversion"/>
  </si>
  <si>
    <t>SCB11-500KVA 全铝</t>
    <phoneticPr fontId="25" type="noConversion"/>
  </si>
  <si>
    <t>7AA1</t>
    <phoneticPr fontId="25" type="noConversion"/>
  </si>
  <si>
    <t>GKW1-2000-800M/3P F</t>
    <phoneticPr fontId="25" type="noConversion"/>
  </si>
  <si>
    <t>7AA2</t>
    <phoneticPr fontId="25" type="noConversion"/>
  </si>
  <si>
    <t>7AA3.4</t>
    <phoneticPr fontId="25" type="noConversion"/>
  </si>
  <si>
    <t>8AH1</t>
    <phoneticPr fontId="25" type="noConversion"/>
  </si>
  <si>
    <t>8#</t>
  </si>
  <si>
    <t>8AH2</t>
    <phoneticPr fontId="25" type="noConversion"/>
  </si>
  <si>
    <t>8AA1</t>
    <phoneticPr fontId="25" type="noConversion"/>
  </si>
  <si>
    <t>8AA2</t>
    <phoneticPr fontId="25" type="noConversion"/>
  </si>
  <si>
    <t>8AA3.4</t>
    <phoneticPr fontId="25" type="noConversion"/>
  </si>
  <si>
    <t>9AH1</t>
    <phoneticPr fontId="25" type="noConversion"/>
  </si>
  <si>
    <t>9#</t>
  </si>
  <si>
    <t>9AH2</t>
    <phoneticPr fontId="25" type="noConversion"/>
  </si>
  <si>
    <t>9AA1</t>
    <phoneticPr fontId="25" type="noConversion"/>
  </si>
  <si>
    <t>9AA2</t>
    <phoneticPr fontId="25" type="noConversion"/>
  </si>
  <si>
    <t>9AA3.4</t>
    <phoneticPr fontId="25" type="noConversion"/>
  </si>
  <si>
    <t>NXM-63S/3300</t>
  </si>
  <si>
    <t>NXM-125S/3300</t>
  </si>
  <si>
    <t>NXM-250S/3300</t>
  </si>
  <si>
    <t>NXM-400S/3300</t>
  </si>
  <si>
    <t>NXM-630S/3300</t>
  </si>
  <si>
    <t>NXM-800S/3300</t>
  </si>
  <si>
    <t>NXM-63S/3310</t>
  </si>
  <si>
    <t>NXM-125S/3310</t>
  </si>
  <si>
    <t>NXM-160S/3310</t>
  </si>
  <si>
    <t>NXM-250S/3310</t>
  </si>
  <si>
    <t>NXM-320S/3310</t>
  </si>
  <si>
    <t>NXM-400S/3310</t>
  </si>
  <si>
    <t>NXM-630S/3310</t>
  </si>
  <si>
    <t>NXM-800S/3310</t>
  </si>
  <si>
    <t>NXM-1000S/3310</t>
  </si>
  <si>
    <t>NXM-63S/3340</t>
  </si>
  <si>
    <t>NXM-125S/3340</t>
  </si>
  <si>
    <t>NXM-160S/3340</t>
  </si>
  <si>
    <t>NXM-250S/3340</t>
  </si>
  <si>
    <t>NXM-320S/3340</t>
  </si>
  <si>
    <t>NXM-400S/3340</t>
  </si>
  <si>
    <t>NXM-630S/3340</t>
  </si>
  <si>
    <t>NXM-800S/3340</t>
  </si>
  <si>
    <t>NXM-63S/4300B</t>
  </si>
  <si>
    <t>NXM-125S/4300B</t>
  </si>
  <si>
    <t>NXM-160S/4300B</t>
  </si>
  <si>
    <t>NXM-250S/4300B</t>
  </si>
  <si>
    <t>NXM-320S/4300B</t>
  </si>
  <si>
    <t>NXM-400S/4300B</t>
  </si>
  <si>
    <t>NXM-630S/4300B</t>
  </si>
  <si>
    <t>NXM-800S/4300B</t>
  </si>
  <si>
    <t>NXM-1000S/4300B</t>
  </si>
  <si>
    <t>NXM-1600S/4300B</t>
  </si>
  <si>
    <t>NXM-63H/3300</t>
  </si>
  <si>
    <t>NXM-125H/3300</t>
  </si>
  <si>
    <t>NXM-160H/3300</t>
  </si>
  <si>
    <t>NXM-250H/3300</t>
  </si>
  <si>
    <t>NXM-320H/3300</t>
  </si>
  <si>
    <t>NXM-400H/3300</t>
  </si>
  <si>
    <t>NXM-630H/3300</t>
  </si>
  <si>
    <t>NXM-800H/3300</t>
  </si>
  <si>
    <t>NXM-1000H/3300</t>
  </si>
  <si>
    <t>NXM-1600H/3300</t>
  </si>
  <si>
    <t>CH3-10Q/150</t>
    <phoneticPr fontId="31" type="noConversion"/>
  </si>
  <si>
    <t>精益联合集团有限公司
报　价　单</t>
  </si>
  <si>
    <t>询价单位：</t>
    <phoneticPr fontId="31" type="noConversion"/>
  </si>
  <si>
    <t>报价货币：</t>
    <phoneticPr fontId="31" type="noConversion"/>
  </si>
  <si>
    <t>邮    箱：</t>
    <phoneticPr fontId="31" type="noConversion"/>
  </si>
  <si>
    <t>审核：</t>
    <phoneticPr fontId="31" type="noConversion"/>
  </si>
  <si>
    <t>营销联系人：王杰</t>
    <phoneticPr fontId="25" type="noConversion"/>
  </si>
  <si>
    <t>手机：</t>
    <phoneticPr fontId="31" type="noConversion"/>
  </si>
  <si>
    <t>邮箱:</t>
    <phoneticPr fontId="31" type="noConversion"/>
  </si>
  <si>
    <t>地址：经济开发区纬十五路281号</t>
    <phoneticPr fontId="31" type="noConversion"/>
  </si>
  <si>
    <t xml:space="preserve">电话：0577-61606979         </t>
    <phoneticPr fontId="31" type="noConversion"/>
  </si>
  <si>
    <t>传真：0577-61606978</t>
    <phoneticPr fontId="31" type="noConversion"/>
  </si>
  <si>
    <t>http://www.cnjylh.com/</t>
    <phoneticPr fontId="31" type="noConversion"/>
  </si>
  <si>
    <t>精益联合集团</t>
  </si>
  <si>
    <t>生产厂家</t>
  </si>
  <si>
    <t>项目名称：</t>
    <phoneticPr fontId="31" type="noConversion"/>
  </si>
  <si>
    <t>型号及规格</t>
    <phoneticPr fontId="31" type="noConversion"/>
  </si>
  <si>
    <t>图号</t>
    <phoneticPr fontId="25" type="noConversion"/>
  </si>
  <si>
    <t>审核：</t>
    <phoneticPr fontId="31" type="noConversion"/>
  </si>
  <si>
    <t>地址：经济开发区纬十五路281号</t>
    <phoneticPr fontId="31" type="noConversion"/>
  </si>
  <si>
    <t xml:space="preserve">电话：0577-61606979         </t>
    <phoneticPr fontId="31" type="noConversion"/>
  </si>
  <si>
    <t>传真：0577-61606978</t>
    <phoneticPr fontId="31" type="noConversion"/>
  </si>
  <si>
    <t>http://www.cnjylh.com/</t>
    <phoneticPr fontId="31" type="noConversion"/>
  </si>
  <si>
    <t>精益联合集团有限公司
报　价　单</t>
    <phoneticPr fontId="25" type="noConversion"/>
  </si>
  <si>
    <t>投标人全称：精益联合集团有限公司</t>
    <phoneticPr fontId="25" type="noConversion"/>
  </si>
  <si>
    <t>营销联系人：王杰</t>
    <phoneticPr fontId="25" type="noConversion"/>
  </si>
  <si>
    <t>手机：</t>
    <phoneticPr fontId="31" type="noConversion"/>
  </si>
  <si>
    <t>邮箱:</t>
    <phoneticPr fontId="31" type="noConversion"/>
  </si>
  <si>
    <t>地址：经济开发区纬十五路281号</t>
    <phoneticPr fontId="31" type="noConversion"/>
  </si>
  <si>
    <t xml:space="preserve">电话：0577-61606979         </t>
    <phoneticPr fontId="31" type="noConversion"/>
  </si>
  <si>
    <t>传真：0577-61606978</t>
    <phoneticPr fontId="31" type="noConversion"/>
  </si>
  <si>
    <t>http://www.cnjylh.com/</t>
    <phoneticPr fontId="31" type="noConversion"/>
  </si>
  <si>
    <t>精益联合集团有限公司</t>
  </si>
  <si>
    <t>1、上述报价均为出厂价含税，未含现场安装调试费及运费，未含计量仪表，按清单描述.我公司方案。
2、高压真空断路器采用精益联合集团VS1；微机保护装置采用上海桂电GDB；电流/电压互感器（含计量互感器）采用浙江超盛LZZBJ9/JDZ；测量仪表采用指针表。
3、变压器采用SCB10全铜材质，国家标准；箱变外壳采用复合彩钢板，开闭所外壳采用201不锈钢2.0mm。
4、低压框架式断路器采用人民电气RDW1；塑壳断路器采用人民电气RDM1；电容补偿采用九康电气JK；
测量仪表采用指针表。
5、其余元器件按我公司常规配置，报价有效期7天。
6、以上报价仅供参考，具体以技术交底为准，如有变动需另行报价。</t>
  </si>
  <si>
    <t>PZ30 4#</t>
  </si>
  <si>
    <t>PZ30 6#</t>
  </si>
  <si>
    <t>PZ30 8#</t>
  </si>
  <si>
    <t>PZ30 10#</t>
  </si>
  <si>
    <t>PZ30 12#</t>
  </si>
  <si>
    <t>PZ30 15#</t>
  </si>
  <si>
    <t>PZ30 18#</t>
  </si>
  <si>
    <t>PZ30 20#</t>
  </si>
  <si>
    <t>PZ30 24#</t>
  </si>
  <si>
    <t>PZ30 30#</t>
  </si>
  <si>
    <t>PZ30 36#</t>
  </si>
  <si>
    <t>PZ30 40#</t>
  </si>
  <si>
    <t>PZ30 45#</t>
  </si>
  <si>
    <t>PZ30 48#</t>
  </si>
  <si>
    <t>PZ30 54#</t>
  </si>
  <si>
    <t>PZ30 60#</t>
  </si>
  <si>
    <t>SPCC</t>
  </si>
  <si>
    <t>δ1.5</t>
  </si>
  <si>
    <t>iC65N-C40A/3P</t>
  </si>
  <si>
    <t>iDPNa C10A</t>
  </si>
  <si>
    <t>交流微型漏电断路器</t>
  </si>
  <si>
    <t>iDPNa Vigi＋ELE C16A</t>
  </si>
  <si>
    <t>VS1-12/630-20 固定式</t>
  </si>
  <si>
    <t>VS1-12/630-25 固定式</t>
  </si>
  <si>
    <t>VS1-12/630-31.5 固定式</t>
  </si>
  <si>
    <t>VS1-12/1250-20 固定式</t>
  </si>
  <si>
    <t>VS1-12/1250-25 固定式</t>
  </si>
  <si>
    <t>VS1-12/1250-31.5 固定式</t>
  </si>
  <si>
    <t>6L2-A</t>
    <phoneticPr fontId="31" type="noConversion"/>
  </si>
  <si>
    <t>WSK-G</t>
    <phoneticPr fontId="31" type="noConversion"/>
  </si>
  <si>
    <t>高压PT柜</t>
    <phoneticPr fontId="25" type="noConversion"/>
  </si>
  <si>
    <t>JDZX10-10 10/√3/0.1/√3/0.1/3 0.5/6P</t>
    <phoneticPr fontId="31" type="noConversion"/>
  </si>
  <si>
    <t>LXQ-10</t>
    <phoneticPr fontId="31" type="noConversion"/>
  </si>
  <si>
    <t>JN15-12</t>
    <phoneticPr fontId="31" type="noConversion"/>
  </si>
  <si>
    <t>KYN28A-12/JD</t>
    <phoneticPr fontId="31" type="noConversion"/>
  </si>
  <si>
    <t>水平排</t>
    <phoneticPr fontId="25" type="noConversion"/>
  </si>
  <si>
    <t>管理</t>
    <phoneticPr fontId="25" type="noConversion"/>
  </si>
  <si>
    <t>低压进线柜</t>
    <phoneticPr fontId="25" type="noConversion"/>
  </si>
  <si>
    <t>1DP1</t>
    <phoneticPr fontId="25" type="noConversion"/>
  </si>
  <si>
    <t>壳体W*D*H</t>
    <phoneticPr fontId="25" type="noConversion"/>
  </si>
  <si>
    <t>GGD-1000*1000*2200</t>
    <phoneticPr fontId="25" type="noConversion"/>
  </si>
  <si>
    <t>GGD-2200*1000</t>
    <phoneticPr fontId="31" type="noConversion"/>
  </si>
  <si>
    <t>LMK2-50 400/5 0.2S</t>
    <phoneticPr fontId="31" type="noConversion"/>
  </si>
  <si>
    <t>LMK2-50 400/5 0.5</t>
    <phoneticPr fontId="25" type="noConversion"/>
  </si>
  <si>
    <t>6L2-A</t>
    <phoneticPr fontId="25" type="noConversion"/>
  </si>
  <si>
    <t>RT0-600/500A</t>
  </si>
  <si>
    <t>环宇集团</t>
  </si>
  <si>
    <t>熔断器底座</t>
  </si>
  <si>
    <t>RT0-600</t>
  </si>
  <si>
    <t>GKM1-630M/3340</t>
    <phoneticPr fontId="31" type="noConversion"/>
  </si>
  <si>
    <t>AD16-22D</t>
    <phoneticPr fontId="31" type="noConversion"/>
  </si>
  <si>
    <t>TMY-40*6</t>
    <phoneticPr fontId="31" type="noConversion"/>
  </si>
  <si>
    <t>TMY-50*5</t>
    <phoneticPr fontId="31" type="noConversion"/>
  </si>
  <si>
    <t>欣利铜材</t>
    <phoneticPr fontId="25" type="noConversion"/>
  </si>
  <si>
    <t>零母排</t>
    <phoneticPr fontId="25" type="noConversion"/>
  </si>
  <si>
    <t>TMY-50*5</t>
    <phoneticPr fontId="31" type="noConversion"/>
  </si>
  <si>
    <t>欣利铜材</t>
    <phoneticPr fontId="25" type="noConversion"/>
  </si>
  <si>
    <t>接地排</t>
    <phoneticPr fontId="25" type="noConversion"/>
  </si>
  <si>
    <t>欣利铜材</t>
    <phoneticPr fontId="25" type="noConversion"/>
  </si>
  <si>
    <t>元件小计</t>
    <phoneticPr fontId="25" type="noConversion"/>
  </si>
  <si>
    <t>成套费</t>
    <phoneticPr fontId="25" type="noConversion"/>
  </si>
  <si>
    <t>辅件费</t>
    <phoneticPr fontId="25" type="noConversion"/>
  </si>
  <si>
    <t>管理费</t>
    <phoneticPr fontId="25" type="noConversion"/>
  </si>
  <si>
    <t>利  润</t>
    <phoneticPr fontId="25" type="noConversion"/>
  </si>
  <si>
    <t>低压电容柜</t>
    <phoneticPr fontId="25" type="noConversion"/>
  </si>
  <si>
    <t>1-2AA,2-2AA</t>
    <phoneticPr fontId="25" type="noConversion"/>
  </si>
  <si>
    <t>壳体W*D*H</t>
    <phoneticPr fontId="25" type="noConversion"/>
  </si>
  <si>
    <t>GCS-800*800*2200</t>
    <phoneticPr fontId="25" type="noConversion"/>
  </si>
  <si>
    <t>QSA-630/3</t>
    <phoneticPr fontId="31" type="noConversion"/>
  </si>
  <si>
    <t>LMK2-50 600/5 0.5</t>
    <phoneticPr fontId="31" type="noConversion"/>
  </si>
  <si>
    <t>HS8-3S4</t>
    <phoneticPr fontId="31" type="noConversion"/>
  </si>
  <si>
    <t>NXB-3P/D63A</t>
    <phoneticPr fontId="31" type="noConversion"/>
  </si>
  <si>
    <t>CJ19-63A</t>
    <phoneticPr fontId="31" type="noConversion"/>
  </si>
  <si>
    <t>CKSG-30-7</t>
    <phoneticPr fontId="31" type="noConversion"/>
  </si>
  <si>
    <t>BSMJ0.4-30-3</t>
    <phoneticPr fontId="31" type="noConversion"/>
  </si>
  <si>
    <t>JKL5C-12</t>
    <phoneticPr fontId="31" type="noConversion"/>
  </si>
  <si>
    <t>AD16-22D</t>
    <phoneticPr fontId="31" type="noConversion"/>
  </si>
  <si>
    <t>TMY-50*5</t>
    <phoneticPr fontId="31" type="noConversion"/>
  </si>
  <si>
    <t>水平排</t>
    <phoneticPr fontId="25" type="noConversion"/>
  </si>
  <si>
    <t>TMY-100*8</t>
    <phoneticPr fontId="31" type="noConversion"/>
  </si>
  <si>
    <t>零母排</t>
    <phoneticPr fontId="25" type="noConversion"/>
  </si>
  <si>
    <t>欣利铜材</t>
    <phoneticPr fontId="25" type="noConversion"/>
  </si>
  <si>
    <t>接地排</t>
    <phoneticPr fontId="25" type="noConversion"/>
  </si>
  <si>
    <t>TMY-80*6</t>
    <phoneticPr fontId="31" type="noConversion"/>
  </si>
  <si>
    <t>元件小计</t>
    <phoneticPr fontId="25" type="noConversion"/>
  </si>
  <si>
    <t>成套费</t>
    <phoneticPr fontId="25" type="noConversion"/>
  </si>
  <si>
    <t>辅件费</t>
    <phoneticPr fontId="25" type="noConversion"/>
  </si>
  <si>
    <t>管理费</t>
    <phoneticPr fontId="25" type="noConversion"/>
  </si>
  <si>
    <t>利  润</t>
    <phoneticPr fontId="25" type="noConversion"/>
  </si>
  <si>
    <t>低压馈线柜</t>
    <phoneticPr fontId="25" type="noConversion"/>
  </si>
  <si>
    <t>1-3AA,2-3AA</t>
    <phoneticPr fontId="25" type="noConversion"/>
  </si>
  <si>
    <t>壳体W*D*H</t>
    <phoneticPr fontId="25" type="noConversion"/>
  </si>
  <si>
    <t>GCS-800*800*2200</t>
    <phoneticPr fontId="25" type="noConversion"/>
  </si>
  <si>
    <t>NXM-400S/3300</t>
    <phoneticPr fontId="31" type="noConversion"/>
  </si>
  <si>
    <t>LMK2-30 400/5 0.5</t>
    <phoneticPr fontId="25" type="noConversion"/>
  </si>
  <si>
    <t>HS8-3S4</t>
    <phoneticPr fontId="31" type="noConversion"/>
  </si>
  <si>
    <t>AD16-22D</t>
    <phoneticPr fontId="31" type="noConversion"/>
  </si>
  <si>
    <t>GCS-2-400A</t>
    <phoneticPr fontId="25" type="noConversion"/>
  </si>
  <si>
    <t>TMY-120*6</t>
    <phoneticPr fontId="31" type="noConversion"/>
  </si>
  <si>
    <t>TMY-30*5</t>
    <phoneticPr fontId="31" type="noConversion"/>
  </si>
  <si>
    <t>水平排</t>
    <phoneticPr fontId="25" type="noConversion"/>
  </si>
  <si>
    <t>TMY-100*8</t>
    <phoneticPr fontId="31" type="noConversion"/>
  </si>
  <si>
    <t>欣利铜材</t>
    <phoneticPr fontId="25" type="noConversion"/>
  </si>
  <si>
    <t>零母排</t>
    <phoneticPr fontId="25" type="noConversion"/>
  </si>
  <si>
    <t>欣利铜材</t>
    <phoneticPr fontId="25" type="noConversion"/>
  </si>
  <si>
    <t>接地排</t>
    <phoneticPr fontId="25" type="noConversion"/>
  </si>
  <si>
    <t>TMY-80*6</t>
    <phoneticPr fontId="31" type="noConversion"/>
  </si>
  <si>
    <t>元件小计</t>
    <phoneticPr fontId="25" type="noConversion"/>
  </si>
  <si>
    <t>成套费</t>
    <phoneticPr fontId="25" type="noConversion"/>
  </si>
  <si>
    <t>辅件费</t>
    <phoneticPr fontId="25" type="noConversion"/>
  </si>
  <si>
    <t>管理费</t>
    <phoneticPr fontId="25" type="noConversion"/>
  </si>
  <si>
    <t>利  润</t>
    <phoneticPr fontId="25" type="noConversion"/>
  </si>
  <si>
    <t>低压联络柜</t>
    <phoneticPr fontId="25" type="noConversion"/>
  </si>
  <si>
    <t>1-4AA</t>
    <phoneticPr fontId="25" type="noConversion"/>
  </si>
  <si>
    <t>壳体W*D*H</t>
    <phoneticPr fontId="25" type="noConversion"/>
  </si>
  <si>
    <t>GCS-800*800*2200</t>
    <phoneticPr fontId="25" type="noConversion"/>
  </si>
  <si>
    <t>NA1-2000</t>
    <phoneticPr fontId="31" type="noConversion"/>
  </si>
  <si>
    <t>NA1-2000-1600M/3P D</t>
    <phoneticPr fontId="31" type="noConversion"/>
  </si>
  <si>
    <t>LMK2-100 2000/5 0.5</t>
    <phoneticPr fontId="25" type="noConversion"/>
  </si>
  <si>
    <t>AD16-22D</t>
    <phoneticPr fontId="31" type="noConversion"/>
  </si>
  <si>
    <t>LA39-11</t>
    <phoneticPr fontId="31" type="noConversion"/>
  </si>
  <si>
    <t>TMY-100*8</t>
    <phoneticPr fontId="31" type="noConversion"/>
  </si>
  <si>
    <t>水平排</t>
    <phoneticPr fontId="25" type="noConversion"/>
  </si>
  <si>
    <t>欣利铜材</t>
    <phoneticPr fontId="25" type="noConversion"/>
  </si>
  <si>
    <t>零母排</t>
    <phoneticPr fontId="25" type="noConversion"/>
  </si>
  <si>
    <t>欣利铜材</t>
    <phoneticPr fontId="25" type="noConversion"/>
  </si>
  <si>
    <t>接地排</t>
    <phoneticPr fontId="25" type="noConversion"/>
  </si>
  <si>
    <t>TMY-80*6</t>
    <phoneticPr fontId="31" type="noConversion"/>
  </si>
  <si>
    <t>元件小计</t>
    <phoneticPr fontId="25" type="noConversion"/>
  </si>
  <si>
    <t>成套费</t>
    <phoneticPr fontId="25" type="noConversion"/>
  </si>
  <si>
    <t>辅件费</t>
    <phoneticPr fontId="25" type="noConversion"/>
  </si>
  <si>
    <t>管理费</t>
    <phoneticPr fontId="25" type="noConversion"/>
  </si>
  <si>
    <t>利  润</t>
    <phoneticPr fontId="25" type="noConversion"/>
  </si>
  <si>
    <t>生产厂家</t>
    <phoneticPr fontId="25" type="noConversion"/>
  </si>
  <si>
    <t>管理</t>
    <phoneticPr fontId="25" type="noConversion"/>
  </si>
  <si>
    <t>BB1290E01MX01</t>
    <phoneticPr fontId="31" type="noConversion"/>
  </si>
  <si>
    <t>壳体W*H*D</t>
    <phoneticPr fontId="25" type="noConversion"/>
  </si>
  <si>
    <t>JXF 600*800*200</t>
    <phoneticPr fontId="31" type="noConversion"/>
  </si>
  <si>
    <t>BB1290E01MX01</t>
    <phoneticPr fontId="31" type="noConversion"/>
  </si>
  <si>
    <t>壳体W*H*D</t>
    <phoneticPr fontId="25" type="noConversion"/>
  </si>
  <si>
    <t>PZ30 12#</t>
    <phoneticPr fontId="25" type="noConversion"/>
  </si>
  <si>
    <t>JENM1-63L/3300</t>
  </si>
  <si>
    <t>JENM1-400L/3300</t>
  </si>
  <si>
    <t>JENM1-630L/3300</t>
  </si>
  <si>
    <t>JENM1-63M/3300</t>
  </si>
  <si>
    <t>JENM1-400M/3300</t>
  </si>
  <si>
    <t>JENM1-630M/3300</t>
  </si>
  <si>
    <t>JENM1-800M/3300</t>
  </si>
  <si>
    <t>JENM1-1250M/3300</t>
  </si>
  <si>
    <t>JENM1-400L/4300</t>
  </si>
  <si>
    <t>JENM1-630L/4300</t>
  </si>
  <si>
    <t>JENM1-63M/4300</t>
  </si>
  <si>
    <t>JENM1-400M/4300</t>
  </si>
  <si>
    <t>JENM1-630M/4300</t>
  </si>
  <si>
    <t>JENM1-800M/4300</t>
  </si>
  <si>
    <t>JENM1-1250M/4300</t>
  </si>
  <si>
    <t>JENM1-63L/3340</t>
  </si>
  <si>
    <t>JENM1-400L/3340</t>
  </si>
  <si>
    <t>JENM1-630L/3340</t>
  </si>
  <si>
    <t>JENM1-63M/3340</t>
  </si>
  <si>
    <t>JENM1-400M/3340</t>
  </si>
  <si>
    <t>JENM1-630M/3340</t>
  </si>
  <si>
    <t>JENM1-800M/3340</t>
  </si>
  <si>
    <t>JENM1L-400L/3300</t>
  </si>
  <si>
    <t>JENM1L-800L/3300</t>
  </si>
  <si>
    <t>JENM1L-400L/4300B</t>
  </si>
  <si>
    <t>JENM1L-800L/4300B</t>
  </si>
  <si>
    <t>JENM1L-400M/4300B</t>
  </si>
  <si>
    <t>JENM1L-800M/4300B</t>
  </si>
  <si>
    <t>JENM1-100M/3300</t>
  </si>
  <si>
    <t>JENM1-100L/4300</t>
  </si>
  <si>
    <t>JENM1-100M/4300</t>
  </si>
  <si>
    <t>JENM1-100L/3340</t>
  </si>
  <si>
    <t>JENM1-100M/3340</t>
  </si>
  <si>
    <t>JENM1L-100L/3300</t>
  </si>
  <si>
    <t>JENM1L-100L/4300B</t>
  </si>
  <si>
    <t>JENM1L-100M/4300B</t>
  </si>
  <si>
    <t>JENM1-225M/3300</t>
  </si>
  <si>
    <t>JENM1-225L/4300</t>
  </si>
  <si>
    <t>JENM1-225M/4300</t>
  </si>
  <si>
    <t>JENM1-225L/3340</t>
  </si>
  <si>
    <t>JENM1-225M/3340</t>
  </si>
  <si>
    <t>JENM1L-225L/3300</t>
  </si>
  <si>
    <t>JENM1L-225L/4300B</t>
  </si>
  <si>
    <t>JENM1L-225M/4300B</t>
  </si>
  <si>
    <t>JENM1-63L/3310</t>
  </si>
  <si>
    <t>JENM1-100L/3310</t>
  </si>
  <si>
    <t>JENM1-225L/3310</t>
  </si>
  <si>
    <t>JENM1-400L/3310</t>
  </si>
  <si>
    <t>JENM1-630L/3310</t>
  </si>
  <si>
    <t>JENM1-63M/3310</t>
  </si>
  <si>
    <t>JENM1-100M/3310</t>
  </si>
  <si>
    <t>JENM1-225M/3310</t>
  </si>
  <si>
    <t>JENM1-400M/3310</t>
  </si>
  <si>
    <t>JENM1-630M/3310</t>
  </si>
  <si>
    <t>JENM1-800M/3310</t>
  </si>
  <si>
    <t>DZ30-32 C6A</t>
  </si>
  <si>
    <t>DZ30-32 C10A</t>
  </si>
  <si>
    <t>DZ30-32 C16A</t>
  </si>
  <si>
    <t>DZ30-32 C20A</t>
  </si>
  <si>
    <t>DZ30-32 C25A</t>
  </si>
  <si>
    <t>DZ30-32 C32A</t>
  </si>
  <si>
    <t>DZ30L-32 C6A</t>
  </si>
  <si>
    <t>DZ30L-32 C10A</t>
  </si>
  <si>
    <t>DZ30L-32 C16A</t>
  </si>
  <si>
    <t>DZ30L-32 C20A</t>
  </si>
  <si>
    <t>DZ30L-32 C25A</t>
  </si>
  <si>
    <t>DZ30L-32 C32A</t>
  </si>
  <si>
    <t>DZ47-1P/63A</t>
  </si>
  <si>
    <t>DZ47-1P/80A</t>
  </si>
  <si>
    <t>DZ47-1P/100A</t>
  </si>
  <si>
    <t>DZ47-1P/125A</t>
  </si>
  <si>
    <t>DZ47-2P/63A</t>
  </si>
  <si>
    <t>DZ47-2P/80A</t>
  </si>
  <si>
    <t>DZ47-2P/100A</t>
  </si>
  <si>
    <t>DZ47-2P/125A</t>
  </si>
  <si>
    <t>DZ47-3P/63A</t>
  </si>
  <si>
    <t>DZ47-3P/80A</t>
  </si>
  <si>
    <t>DZ47-3P/100A</t>
  </si>
  <si>
    <t>DZ47-3P/125A</t>
  </si>
  <si>
    <t>DZ47-4P/63A</t>
  </si>
  <si>
    <t>DZ47-4P/80A</t>
  </si>
  <si>
    <t>DZ47-4P/100A</t>
  </si>
  <si>
    <t>DZ47-4P/125A</t>
  </si>
  <si>
    <t>DZ47LE-1N/63A</t>
  </si>
  <si>
    <t>DZ47LE-1N/80A</t>
  </si>
  <si>
    <t>DZ47LE-1N/100A</t>
  </si>
  <si>
    <t>DZ47LE-1N/125A</t>
  </si>
  <si>
    <t>DZ47LE-2P/63A</t>
  </si>
  <si>
    <t>DZ47LE-2P/80A</t>
  </si>
  <si>
    <t>DZ47LE-2P/100A</t>
  </si>
  <si>
    <t>DZ47LE-2P/125A</t>
  </si>
  <si>
    <t>DZ47LE-3P/63A</t>
  </si>
  <si>
    <t>DZ47LE-3P/80A</t>
  </si>
  <si>
    <t>DZ47LE-3P/100A</t>
  </si>
  <si>
    <t>DZ47LE-3P/125A</t>
  </si>
  <si>
    <t>DZ47LE-3N/63A</t>
  </si>
  <si>
    <t>DZ47LE-3N/80A</t>
  </si>
  <si>
    <t>DZ47LE-3N/100A</t>
  </si>
  <si>
    <t>DZ47LE-3N/125A</t>
  </si>
  <si>
    <t>DZ47LE-4P/63A</t>
  </si>
  <si>
    <t>DZ47LE-4P/80A</t>
  </si>
  <si>
    <t>DZ47LE-4P/100A</t>
  </si>
  <si>
    <t>DZ47LE-4P/125A</t>
  </si>
  <si>
    <t>HL30-1P/32A</t>
  </si>
  <si>
    <t>HL30-1P/40A</t>
  </si>
  <si>
    <t>HL30-1P/63A</t>
  </si>
  <si>
    <t>HL30-1P/80A</t>
  </si>
  <si>
    <t>HL30-1P/100A</t>
  </si>
  <si>
    <t>HL30-1P/125A</t>
  </si>
  <si>
    <t>HL30-2P/20A</t>
  </si>
  <si>
    <t>HL30-2P/25A</t>
  </si>
  <si>
    <t>HL30-2P/32A</t>
  </si>
  <si>
    <t>HL30-2P/40A</t>
  </si>
  <si>
    <t>HL30-2P/50A</t>
  </si>
  <si>
    <t>HL30-2P/63A</t>
  </si>
  <si>
    <t>HL30-2P/80A</t>
  </si>
  <si>
    <t>HL30-2P/100A</t>
  </si>
  <si>
    <t>HL30-2P/125A</t>
  </si>
  <si>
    <t>HL30-3P/20A</t>
  </si>
  <si>
    <t>HL30-3P/25A</t>
  </si>
  <si>
    <t>HL30-3P/32A</t>
  </si>
  <si>
    <t>HL30-3P/40A</t>
  </si>
  <si>
    <t>HL30-3P/50A</t>
  </si>
  <si>
    <t>HL30-3P/63A</t>
  </si>
  <si>
    <t>HL30-3P/80A</t>
  </si>
  <si>
    <t>HL30-3P/100A</t>
  </si>
  <si>
    <t>HL30-3P/125A</t>
  </si>
  <si>
    <t>HL30-4P/20A</t>
  </si>
  <si>
    <t>HL30-4P/25A</t>
  </si>
  <si>
    <t>HL30-4P/32A</t>
  </si>
  <si>
    <t>HL30-4P/40A</t>
  </si>
  <si>
    <t>HL30-4P/50A</t>
  </si>
  <si>
    <t>HL30-4P/63A</t>
  </si>
  <si>
    <t>HL30-4P/80A</t>
  </si>
  <si>
    <t>HL30-4P/100A</t>
  </si>
  <si>
    <t>HL30-4P/125A</t>
  </si>
  <si>
    <t>JENW1-2000-400M/3P D</t>
  </si>
  <si>
    <t>JENW1-2000-630M/3P D</t>
  </si>
  <si>
    <t>JENW1-2000-800M/3P D</t>
  </si>
  <si>
    <t>JENW1-2000-1000M/3P D</t>
  </si>
  <si>
    <t>JENW1-2000-1250M/3P D</t>
  </si>
  <si>
    <t>JENW1-2000-1600M/3P D</t>
  </si>
  <si>
    <t>JENW1-2000-2000M/3P D</t>
  </si>
  <si>
    <t>JENW1-2000-630M/4P D</t>
  </si>
  <si>
    <t>JENW1-2000-800M/4P D</t>
  </si>
  <si>
    <t>JENW1-2000-1000M/4P D</t>
  </si>
  <si>
    <t>JENW1-2000-1250M/4P D</t>
  </si>
  <si>
    <t>JENW1-2000-1600M/4P D</t>
  </si>
  <si>
    <t>JENW1-2000-2000M/4P D</t>
  </si>
  <si>
    <t>JENW1-3200-2000M/3P D</t>
  </si>
  <si>
    <t>JENW1-3200-2500M/3P D</t>
  </si>
  <si>
    <t>JENW1-3200-2900M/3P D</t>
  </si>
  <si>
    <t>JENW1-3200-3200M/3P D</t>
  </si>
  <si>
    <t>JENW1-3200-2000M/4P D</t>
  </si>
  <si>
    <t>JENW1-3200-2500M/4P D</t>
  </si>
  <si>
    <t>JENW1-3200-2900M/4P D</t>
  </si>
  <si>
    <t>JENW1-3200-3200M/4P D</t>
  </si>
  <si>
    <t>JENW1-4000-3200M/3P F</t>
  </si>
  <si>
    <t>JENW1-4000-3600M/3P F</t>
  </si>
  <si>
    <t>JENW1-4000-4000M/3P F</t>
  </si>
  <si>
    <t>JENW1-4000-3200M/3P D</t>
  </si>
  <si>
    <t>JENW1-4000-3600M/3P D</t>
  </si>
  <si>
    <t>JENW1-4000-4000M/3P D</t>
  </si>
  <si>
    <t>JENW1-4000-3200M/4P D</t>
  </si>
  <si>
    <t>JENW1-4000-3600M/4P D</t>
  </si>
  <si>
    <t>JENW1-4000-4000M/4P D</t>
  </si>
  <si>
    <t>JENW1-6300-4000M/3P F</t>
  </si>
  <si>
    <t>JENW1-6300-5000M/3P F</t>
  </si>
  <si>
    <t>JENW1-6300-6300M/3P F</t>
  </si>
  <si>
    <t>JENW1-6300-4000M/4P D</t>
  </si>
  <si>
    <t>JENW1-6300-5000M/4P D</t>
  </si>
  <si>
    <t>JENW1-6300-4000M/3P D</t>
  </si>
  <si>
    <t>JENW1-6300-5000M/3P D</t>
  </si>
  <si>
    <t>JENW1-6300-6300M/3P D</t>
  </si>
  <si>
    <t>JENW1-2000-400M/3P F</t>
  </si>
  <si>
    <t>JENW1-2000-500M/3P F</t>
  </si>
  <si>
    <t>JENW1-2000-630M/3P F</t>
  </si>
  <si>
    <t>JENW1-2000-800M/3P F</t>
  </si>
  <si>
    <t>JENW1-2000-1000M/3P F</t>
  </si>
  <si>
    <t>JENW1-2000-1250M/3P F</t>
  </si>
  <si>
    <t>JENW1-2000-1600M/3P F</t>
  </si>
  <si>
    <t>JENW1-2000-2000M/3P F</t>
  </si>
  <si>
    <t>JENW1-2000-630M/4P F</t>
  </si>
  <si>
    <t>JENW1-2000-800M/4P F</t>
  </si>
  <si>
    <t>JENW1-2000-1000M/4P F</t>
  </si>
  <si>
    <t>JENW1-2000-1250M/4P F</t>
  </si>
  <si>
    <t>JENW1-2000-1600M/4P F</t>
  </si>
  <si>
    <t>JENW1-2000-2000M/4P F</t>
  </si>
  <si>
    <t>JENW1-3200-2000M/3P F</t>
  </si>
  <si>
    <t>JENW1-3200-2500M/3P F</t>
  </si>
  <si>
    <t>JENW1-3200-2900M/3P F</t>
  </si>
  <si>
    <t>JENW1-3200-3200M/3P F</t>
  </si>
  <si>
    <t>JENW1-3200-2000M/4P F</t>
  </si>
  <si>
    <t>JENW1-3200-2500M/4P F</t>
  </si>
  <si>
    <t>JENW1-3200-2900M/4P F</t>
  </si>
  <si>
    <t>JENW1-3200-3200M/4P F</t>
  </si>
  <si>
    <t>JENW1-4000-3200M/4P F</t>
  </si>
  <si>
    <t>JENW1-4000-3600M/4P F</t>
  </si>
  <si>
    <t>JENW1-4000-4000M/4P F</t>
  </si>
  <si>
    <t>JENW1-6300-4000M/4P F</t>
  </si>
  <si>
    <t>JENW1-6300-5000M/4P F</t>
  </si>
  <si>
    <t>JENW1-6300-6300M/4P F</t>
  </si>
  <si>
    <t>HR3BX-200/38 胶板</t>
  </si>
  <si>
    <t>HR3BX-400/38 胶板</t>
  </si>
  <si>
    <t>HR3BX-600/38 胶板</t>
  </si>
  <si>
    <t>HR3BX-1000/38 胶板</t>
  </si>
  <si>
    <t>JENW1-2000</t>
  </si>
  <si>
    <t>JENW1-3200</t>
  </si>
  <si>
    <t>JENW1-4000</t>
  </si>
  <si>
    <t>JENW1-6000</t>
  </si>
  <si>
    <t>HGL-63/3</t>
  </si>
  <si>
    <t>HGL-100/3</t>
  </si>
  <si>
    <t>HGL-125/3</t>
  </si>
  <si>
    <t>HGL-160/3</t>
  </si>
  <si>
    <t>HGL-200/3</t>
  </si>
  <si>
    <t>HGL-250/3</t>
  </si>
  <si>
    <t>HGL-315/3</t>
  </si>
  <si>
    <t>HGL-400/3</t>
  </si>
  <si>
    <t>HGL-500/3</t>
  </si>
  <si>
    <t>HGL-630/3</t>
  </si>
  <si>
    <t>HGL-800/3</t>
  </si>
  <si>
    <t>HGL-1000/3</t>
  </si>
  <si>
    <t>HGL-1250/3</t>
  </si>
  <si>
    <t>HGL-1600/3</t>
  </si>
  <si>
    <t>HGL-2000/3</t>
  </si>
  <si>
    <t>HGL-2500/3</t>
  </si>
  <si>
    <t>HGL-3150/3</t>
  </si>
  <si>
    <t>HGL-63/4</t>
  </si>
  <si>
    <t>HGL-100/4</t>
  </si>
  <si>
    <t>HGL-125/4</t>
  </si>
  <si>
    <t>HGL-160/4</t>
  </si>
  <si>
    <t>HGL-200/4</t>
  </si>
  <si>
    <t>HGL-250/4</t>
  </si>
  <si>
    <t>HGL-315/4</t>
  </si>
  <si>
    <t>HGL-400/4</t>
  </si>
  <si>
    <t>HGL-500/4</t>
  </si>
  <si>
    <t>HGL-630/4</t>
  </si>
  <si>
    <t>HGL-800/4</t>
  </si>
  <si>
    <t>HGL-1000/4</t>
  </si>
  <si>
    <t>HGL-1250/4</t>
  </si>
  <si>
    <t>HGL-1600/4</t>
  </si>
  <si>
    <t>HGL-2000/4</t>
  </si>
  <si>
    <t>HGL-2500/4</t>
  </si>
  <si>
    <t>HGL-3150/4</t>
  </si>
  <si>
    <t>HGL-125/3J</t>
  </si>
  <si>
    <t>HGL-160/3J</t>
  </si>
  <si>
    <t>HGL-200/3J</t>
  </si>
  <si>
    <t>HGL-250/3J</t>
  </si>
  <si>
    <t>HGL-315/3J</t>
  </si>
  <si>
    <t>HGL-400/3J</t>
  </si>
  <si>
    <t>HGL-500/3J</t>
  </si>
  <si>
    <t>HGL-630/3J</t>
  </si>
  <si>
    <t>HGL-800/3J</t>
  </si>
  <si>
    <t>HGL-1000/3J</t>
  </si>
  <si>
    <t>HGL-1250/3J</t>
  </si>
  <si>
    <t>HGL-1600/3J</t>
  </si>
  <si>
    <t>HGL-2000/3J</t>
  </si>
  <si>
    <t>HGL-2500/3J</t>
  </si>
  <si>
    <t>HGL-3150/3J</t>
  </si>
  <si>
    <t>HD11F-100/38 胶板</t>
  </si>
  <si>
    <t>HD11F-200/38 胶板</t>
  </si>
  <si>
    <t>HD11F-400/38 胶板</t>
  </si>
  <si>
    <t>HD11F-600/38 胶板</t>
  </si>
  <si>
    <t>HD11F-1000/38 胶板</t>
  </si>
  <si>
    <t>电动机保护器</t>
  </si>
  <si>
    <t>RT18-32X/2P</t>
  </si>
  <si>
    <t>RT18-32X/3P</t>
  </si>
  <si>
    <t>RT18-32X/4P</t>
  </si>
  <si>
    <t>RT18-63X/2P</t>
  </si>
  <si>
    <t>RT18-63X/3P</t>
  </si>
  <si>
    <t>RT18-63X/4P</t>
  </si>
  <si>
    <t>BH-30 100/5 0.5</t>
  </si>
  <si>
    <t>BH-30 150/5 0.5</t>
  </si>
  <si>
    <t>BH-30 200/5 0.5</t>
  </si>
  <si>
    <t>BH-30 250/5 0.5</t>
  </si>
  <si>
    <t>BH-30 300/5 0.5</t>
  </si>
  <si>
    <t>BH-30 400/5 0.5</t>
  </si>
  <si>
    <t>BH-40 200/5 0.5</t>
  </si>
  <si>
    <t>BH-40 300/5 0.5</t>
  </si>
  <si>
    <t>BH-40 400/5 0.5</t>
  </si>
  <si>
    <t>BH-40 500/5 0.5</t>
  </si>
  <si>
    <t>BH-40 600/5 0.5</t>
  </si>
  <si>
    <t>BH-40 800/5 0.5</t>
  </si>
  <si>
    <t>BH-50 300/5 0.5</t>
  </si>
  <si>
    <t>BH-50 400/5 0.5</t>
  </si>
  <si>
    <t>BH-50 500/5 0.5</t>
  </si>
  <si>
    <t>BH-50 600/5 0.5</t>
  </si>
  <si>
    <t>BH-50 800/5 0.5</t>
  </si>
  <si>
    <t>BH-50 1000/5 0.5</t>
  </si>
  <si>
    <t>BH-60 400/5 0.5</t>
  </si>
  <si>
    <t>BH-60 500/5 0.5</t>
  </si>
  <si>
    <t>BH-60 600/5 0.5</t>
  </si>
  <si>
    <t>BH-60 800/5 0.5</t>
  </si>
  <si>
    <t>BH-60 1000/5 0.5</t>
  </si>
  <si>
    <t>BH-60 1200/5 0.5</t>
  </si>
  <si>
    <t>BH-80 600/5 0.5</t>
  </si>
  <si>
    <t>BH-80 800/5 0.5</t>
  </si>
  <si>
    <t>BH-80 1000/5 0.5</t>
  </si>
  <si>
    <t>BH-80 1200/5 0.5</t>
  </si>
  <si>
    <t>BH-80 1500/5 0.5</t>
  </si>
  <si>
    <t>BH-80 1600/5 0.5</t>
  </si>
  <si>
    <t>BH-100 1000/5 0.5</t>
  </si>
  <si>
    <t>BH-100 1200/5 0.5</t>
  </si>
  <si>
    <t>BH-100 1500/5 0.5</t>
  </si>
  <si>
    <t>BH-100 1600/5 0.5</t>
  </si>
  <si>
    <t>BH-100 2000/5 0.5</t>
  </si>
  <si>
    <t>BH-120 1500/5 0.5</t>
  </si>
  <si>
    <t>BH-120 2000/5 0.5</t>
  </si>
  <si>
    <t>BH-120 2500/5 0.5</t>
  </si>
  <si>
    <t>BH-30 100/5 0.2S</t>
  </si>
  <si>
    <t>BH-30 150/5 0.2S</t>
  </si>
  <si>
    <t>BH-30 200/5 0.2S</t>
  </si>
  <si>
    <t>BH-30 250/5 0.2S</t>
  </si>
  <si>
    <t>BH-30 400/5 0.2S</t>
  </si>
  <si>
    <t>BH-30 300/5 0.2S</t>
  </si>
  <si>
    <t>BH-40 300/5 0.2S</t>
  </si>
  <si>
    <t>BH-40 400/5 0.2S</t>
  </si>
  <si>
    <t>BH-40 500/5 0.2S</t>
  </si>
  <si>
    <t>BH-40 600/5 0.2S</t>
  </si>
  <si>
    <t>BH-50 300/5 0.2S</t>
  </si>
  <si>
    <t>BH-50 400/5 0.2S</t>
  </si>
  <si>
    <t>BH-50 500/5 0.2S</t>
  </si>
  <si>
    <t>BH-50 600/5 0.2S</t>
  </si>
  <si>
    <t>BH-50 800/5 0.2S</t>
  </si>
  <si>
    <t>BH-50 1000/5 0.2S</t>
  </si>
  <si>
    <t>BH-60 400/5 0.2S</t>
  </si>
  <si>
    <t>BH-60 500/5 0.2S</t>
  </si>
  <si>
    <t>BH-60 600/5 0.2S</t>
  </si>
  <si>
    <t>BH-60 800/5 0.2S</t>
  </si>
  <si>
    <t>BH-60 1000/5 0.2S</t>
  </si>
  <si>
    <t>BH-60 1200/5 0.2S</t>
  </si>
  <si>
    <t>BH-80 1000/5 0.2S</t>
  </si>
  <si>
    <t>BH-80 1200/5 0.2S</t>
  </si>
  <si>
    <t>BH-80 1500/5 0.2S</t>
  </si>
  <si>
    <t>BH-100 1000/5 0.2S</t>
  </si>
  <si>
    <t>BH-100 1200/5 0.2S</t>
  </si>
  <si>
    <t>BH-100 1500/5 0.2S</t>
  </si>
  <si>
    <t>BH-100 2000/5 0.2S</t>
  </si>
  <si>
    <t>BH-100 2500/5 0.2S</t>
  </si>
  <si>
    <t>BH-120 1500/5 0.2S</t>
  </si>
  <si>
    <t>BH-120 2000/5 0.2S</t>
  </si>
  <si>
    <t>BH-120 2500/5 0.2S</t>
  </si>
  <si>
    <t>BH-120 3000/5 0.2S</t>
  </si>
  <si>
    <t>BH-60II 1000/5 0.5</t>
  </si>
  <si>
    <t>BH-60II 1200/5 0.5</t>
  </si>
  <si>
    <t>BH-60II 1500/5 0.5</t>
  </si>
  <si>
    <t>BH-60II 2000/5 0.5</t>
  </si>
  <si>
    <t>BH-80II 1500/5 0.5</t>
  </si>
  <si>
    <t>BH-80II 2000/5 0.5</t>
  </si>
  <si>
    <t>BH-80II 2500/5 0.5</t>
  </si>
  <si>
    <t>BH-80II 3000/5 0.5</t>
  </si>
  <si>
    <t>BH-100II 2000/5 0.5</t>
  </si>
  <si>
    <t>BH-100II 2500/5 0.5</t>
  </si>
  <si>
    <t>BH-100II 3000/5 0.5</t>
  </si>
  <si>
    <t>BH-100II 4000/5 0.5</t>
  </si>
  <si>
    <t>BH-125II 2000/5 0.5</t>
  </si>
  <si>
    <t>BH-125II 2500/5 0.5</t>
  </si>
  <si>
    <t>BH-125II 3000/5 0.5</t>
  </si>
  <si>
    <t>BH-125II 4000/5 0.5</t>
  </si>
  <si>
    <t>BH-125II 5000/5 0.5</t>
  </si>
  <si>
    <t>BH-60II 1500/5 0.2S</t>
  </si>
  <si>
    <t>BH-80II 1500/5 0.2S</t>
  </si>
  <si>
    <t>BH-80II 2000/5 0.2S</t>
  </si>
  <si>
    <t>BH-100II 2000/5 0.2S</t>
  </si>
  <si>
    <t>BH-100II 2500/5 0.2S</t>
  </si>
  <si>
    <t>BH-100II 3000/5 0.2S</t>
  </si>
  <si>
    <t>BH-125II 3000/5 0.2S</t>
  </si>
  <si>
    <t>BH-125II 4000/5 0.2S</t>
  </si>
  <si>
    <t>BH-125II 5000/5 0.2S</t>
  </si>
  <si>
    <t>JENQ2B-100/4 16A</t>
  </si>
  <si>
    <t>JENQ2B-100/4 20A</t>
  </si>
  <si>
    <t>JENQ2B-100/4 25A</t>
  </si>
  <si>
    <t>JENQ2B-100/4 32A</t>
  </si>
  <si>
    <t>JENQ2B-100/4 40A</t>
  </si>
  <si>
    <t>JENQ2B-100/4 50A</t>
  </si>
  <si>
    <t>JENQ2B-100/4 63A</t>
  </si>
  <si>
    <t>JENQ2B-100/4 80A</t>
  </si>
  <si>
    <t>JENQ2B-100/4 100A</t>
  </si>
  <si>
    <t>JENQ2B-160/4 125A</t>
  </si>
  <si>
    <t>JENQ2B-160/4 160A</t>
  </si>
  <si>
    <t>JENQ2B-250/4 160A</t>
  </si>
  <si>
    <t>JENQ2B-250/4 180A</t>
  </si>
  <si>
    <t>JENQ2B-250/4 200A</t>
  </si>
  <si>
    <t>JENQ2B-250/4 225A</t>
  </si>
  <si>
    <t>JENQ2B-250/4 250A</t>
  </si>
  <si>
    <t>JENQ2B-400/4 250A</t>
  </si>
  <si>
    <t>JENQ2B-400/4 315A</t>
  </si>
  <si>
    <t>JENQ2B-400/4 400A</t>
  </si>
  <si>
    <t>JENQ2B-630/4 500A</t>
  </si>
  <si>
    <t>JENQ2B-630/4 630A</t>
  </si>
  <si>
    <t>JENQ2B-1000/4 1000A</t>
  </si>
  <si>
    <t>JENQ2B-1250/4 1000A</t>
  </si>
  <si>
    <t>JENQ2B-1250/4 1250A</t>
  </si>
  <si>
    <t>JENQ2B-1600/4 1600A</t>
  </si>
  <si>
    <t>JENQ2B-2000/4 2000A</t>
  </si>
  <si>
    <t>JENQ2B-2500/4 2500A</t>
  </si>
  <si>
    <t>JENQ2B-3200/4 3200A</t>
  </si>
  <si>
    <t>JENQ1B-100/4 16A</t>
  </si>
  <si>
    <t>JENQ1B-100/4 20A</t>
  </si>
  <si>
    <t>JENQ1B-100/4 25A</t>
  </si>
  <si>
    <t>JENQ1B-100/4 32A</t>
  </si>
  <si>
    <t>JENQ1B-100/4 40A</t>
  </si>
  <si>
    <t>JENQ1B-100/4 50A</t>
  </si>
  <si>
    <t>JENQ1B-100/4 63A</t>
  </si>
  <si>
    <t>JENQ1B-100/4 80A</t>
  </si>
  <si>
    <t>JENQ1B-100/4 100A</t>
  </si>
  <si>
    <t>JENQ1B-400/4 250A</t>
  </si>
  <si>
    <t>JENQ1B-400/4 315A</t>
  </si>
  <si>
    <t>JENQ1B-400/4 400A</t>
  </si>
  <si>
    <t>JENQ1B-630/4 500A</t>
  </si>
  <si>
    <t>JENQ1B-630/4 630A</t>
  </si>
  <si>
    <t>JENQ1B-1000/4 800A</t>
  </si>
  <si>
    <t>JENQ1B-1000/4 1000A</t>
  </si>
  <si>
    <t>JENQ1B-1600/4 1600A</t>
  </si>
  <si>
    <t>JENQ1B-100/3 16A</t>
  </si>
  <si>
    <t>JENQ1B-100/3 20A</t>
  </si>
  <si>
    <t>JENQ1B-100/3 25A</t>
  </si>
  <si>
    <t>JENQ1B-100/3 32A</t>
  </si>
  <si>
    <t>JENQ1B-100/3 40A</t>
  </si>
  <si>
    <t>JENQ1B-100/3 50A</t>
  </si>
  <si>
    <t>JENQ1B-100/3 63A</t>
  </si>
  <si>
    <t>JENQ1B-100/3 80A</t>
  </si>
  <si>
    <t>JENQ1B-100/3 100A</t>
  </si>
  <si>
    <t>JENQ1B-400/3 250A</t>
  </si>
  <si>
    <t>JENQ1B-400/3 315A</t>
  </si>
  <si>
    <t>JENQ1B-400/3 400A</t>
  </si>
  <si>
    <t>JENQ1B-630/3 500A</t>
  </si>
  <si>
    <t>JENQ1B-630/3 630A</t>
  </si>
  <si>
    <t>JENQ1B-1000/3 800A</t>
  </si>
  <si>
    <t>JENQ1B-1000/3 1000A</t>
  </si>
  <si>
    <t>JENQ1B-225/3 160A</t>
  </si>
  <si>
    <t>JENQ1B-225/3 180A</t>
  </si>
  <si>
    <t>JENQ1B-225/3 200A</t>
  </si>
  <si>
    <t>JENQ1B-225/3 225A</t>
  </si>
  <si>
    <t>JENQ1B-225/3 250A</t>
  </si>
  <si>
    <t>JENQ1B-225/4 160A</t>
  </si>
  <si>
    <t>JENQ1B-225/4 180A</t>
  </si>
  <si>
    <t>JENQ1B-225/4 200A</t>
  </si>
  <si>
    <t>JENQ1B-225/4 225A</t>
  </si>
  <si>
    <t>JENQ1B-225/4 250A</t>
  </si>
  <si>
    <t>ZN85-12/630-20 手车式L</t>
  </si>
  <si>
    <t>ZN85-12/630-25 手车式L</t>
  </si>
  <si>
    <t>ZN85-12/630-31.5 手车式L</t>
  </si>
  <si>
    <t>ZN85-12/1250-20 手车式L</t>
  </si>
  <si>
    <t>ZN85-12/1250-25 手车式L</t>
  </si>
  <si>
    <t>ZN85-12/1250-31.5 手车式L</t>
  </si>
  <si>
    <t>ZN85-12/630-20 手车式T</t>
  </si>
  <si>
    <t>ZN85-12/630-25 手车式T</t>
  </si>
  <si>
    <t>ZN85-12/630-31.5 手车式T</t>
  </si>
  <si>
    <t>ZN85-12/1250-20 手车式T</t>
  </si>
  <si>
    <t>ZN85-12/1250-25 手车式T</t>
  </si>
  <si>
    <t>ZN85-12/1250-31.5 手车式T</t>
  </si>
  <si>
    <t>VS1-12P/630-20 手车式</t>
  </si>
  <si>
    <t>VS1-12P/630-25 手车式</t>
  </si>
  <si>
    <t>VS1-12P/630-31.5 手车式</t>
  </si>
  <si>
    <t>VS1-12P/1250-20 手车式</t>
  </si>
  <si>
    <t>VS1-12P/1250-25 手车式</t>
  </si>
  <si>
    <t>VS1-12P/1250-31.5 手车式</t>
  </si>
  <si>
    <t>VS1-12P/1600-31.5 手车式</t>
  </si>
  <si>
    <t>VS1-12P/2000-31.5 手车式</t>
  </si>
  <si>
    <t>VS1-12P/2000-40 手车式</t>
  </si>
  <si>
    <t>VS1-12P/2500-31.5 手车式</t>
  </si>
  <si>
    <t>VS1-12P/2500-40 手车式</t>
  </si>
  <si>
    <t>VS1-12P/3150-40 手车式</t>
  </si>
  <si>
    <t>VS1-12P/630-20 固定式</t>
  </si>
  <si>
    <t>VS1-12P/630-25 固定式</t>
  </si>
  <si>
    <t>VS1-12P/630-31.5 固定式</t>
  </si>
  <si>
    <t>VS1-12P/1250-20 固定式</t>
  </si>
  <si>
    <t>VS1-12P/1250-25 固定式</t>
  </si>
  <si>
    <t>VS1-12P/1250-31.5 固定式</t>
  </si>
  <si>
    <t>VS1-12P/1600-31.5 固定式</t>
  </si>
  <si>
    <t>序列</t>
    <phoneticPr fontId="25" type="noConversion"/>
  </si>
  <si>
    <t>铜排价格</t>
    <phoneticPr fontId="25" type="noConversion"/>
  </si>
  <si>
    <t>刀熔开关</t>
    <phoneticPr fontId="25" type="noConversion"/>
  </si>
  <si>
    <t>框架断路器</t>
    <phoneticPr fontId="25" type="noConversion"/>
  </si>
  <si>
    <t>DW15-1250/3P</t>
    <phoneticPr fontId="25" type="noConversion"/>
  </si>
  <si>
    <t>DW15-1600/3P</t>
    <phoneticPr fontId="25" type="noConversion"/>
  </si>
  <si>
    <t>DW15-6300/3P</t>
    <phoneticPr fontId="25" type="noConversion"/>
  </si>
  <si>
    <t>JENM1-225L/3300</t>
    <phoneticPr fontId="25" type="noConversion"/>
  </si>
  <si>
    <t>精益联合集团</t>
    <phoneticPr fontId="25" type="noConversion"/>
  </si>
  <si>
    <t>CB双电源开关</t>
    <phoneticPr fontId="25" type="noConversion"/>
  </si>
  <si>
    <t>JENQ1B-225/3 125A</t>
    <phoneticPr fontId="25" type="noConversion"/>
  </si>
  <si>
    <t>JENQ2B-1000/4 800A</t>
    <phoneticPr fontId="25" type="noConversion"/>
  </si>
  <si>
    <t>BHQ-S-J</t>
    <phoneticPr fontId="25" type="noConversion"/>
  </si>
  <si>
    <t>BK-200VA</t>
    <phoneticPr fontId="25" type="noConversion"/>
  </si>
  <si>
    <t>AC30-3C/16A</t>
    <phoneticPr fontId="25" type="noConversion"/>
  </si>
  <si>
    <t>AC30-4C/25A</t>
    <phoneticPr fontId="25" type="noConversion"/>
  </si>
  <si>
    <t>电流.电压表</t>
    <phoneticPr fontId="31" type="noConversion"/>
  </si>
  <si>
    <t>LA38-20/31</t>
    <phoneticPr fontId="25" type="noConversion"/>
  </si>
  <si>
    <t>LA38-11ZS</t>
    <phoneticPr fontId="31" type="noConversion"/>
  </si>
  <si>
    <t>CJ20-400</t>
    <phoneticPr fontId="25" type="noConversion"/>
  </si>
  <si>
    <t>CJ20-630</t>
    <phoneticPr fontId="25" type="noConversion"/>
  </si>
  <si>
    <t>CJ19-95</t>
    <phoneticPr fontId="25" type="noConversion"/>
  </si>
  <si>
    <t>JR36-400</t>
    <phoneticPr fontId="25" type="noConversion"/>
  </si>
  <si>
    <t>JKW5C-12</t>
    <phoneticPr fontId="25" type="noConversion"/>
  </si>
  <si>
    <t>BSMJ0.4-24-3</t>
    <phoneticPr fontId="25" type="noConversion"/>
  </si>
  <si>
    <t>//</t>
    <phoneticPr fontId="31" type="noConversion"/>
  </si>
  <si>
    <t>JK-8CF/250-20</t>
    <phoneticPr fontId="25" type="noConversion"/>
  </si>
  <si>
    <t>NH40-80/3</t>
    <phoneticPr fontId="25" type="noConversion"/>
  </si>
  <si>
    <t>HD13BX-200/31.</t>
    <phoneticPr fontId="25" type="noConversion"/>
  </si>
  <si>
    <t>HD13BX-400/31.</t>
    <phoneticPr fontId="25" type="noConversion"/>
  </si>
  <si>
    <t>HD13BX-600/31.</t>
    <phoneticPr fontId="25" type="noConversion"/>
  </si>
  <si>
    <t>NH4-2P/100A</t>
    <phoneticPr fontId="25" type="noConversion"/>
  </si>
  <si>
    <t>分励脱扣器</t>
    <phoneticPr fontId="25" type="noConversion"/>
  </si>
  <si>
    <t>QSA-1000/3.</t>
    <phoneticPr fontId="25" type="noConversion"/>
  </si>
  <si>
    <t>QSA-800/3.</t>
    <phoneticPr fontId="25" type="noConversion"/>
  </si>
  <si>
    <t>QSA-125/3.</t>
    <phoneticPr fontId="25" type="noConversion"/>
  </si>
  <si>
    <t>QSA-125/4.</t>
    <phoneticPr fontId="25" type="noConversion"/>
  </si>
  <si>
    <t>QSA-160/4.</t>
    <phoneticPr fontId="25" type="noConversion"/>
  </si>
  <si>
    <t>QSA-250/4.</t>
    <phoneticPr fontId="25" type="noConversion"/>
  </si>
  <si>
    <t>QSA-400/4.</t>
    <phoneticPr fontId="25" type="noConversion"/>
  </si>
  <si>
    <t>JR36-160A</t>
    <phoneticPr fontId="25" type="noConversion"/>
  </si>
  <si>
    <t>CJ19-150/10</t>
    <phoneticPr fontId="25" type="noConversion"/>
  </si>
  <si>
    <t>NXC-16</t>
    <phoneticPr fontId="25" type="noConversion"/>
  </si>
  <si>
    <t>NXC-22</t>
    <phoneticPr fontId="25" type="noConversion"/>
  </si>
  <si>
    <t>NXC-160</t>
    <phoneticPr fontId="25" type="noConversion"/>
  </si>
  <si>
    <t>NXR-12</t>
    <phoneticPr fontId="25" type="noConversion"/>
  </si>
  <si>
    <t>NXR-630</t>
    <phoneticPr fontId="25" type="noConversion"/>
  </si>
  <si>
    <t>NXM-1000S/3300</t>
    <phoneticPr fontId="31" type="noConversion"/>
  </si>
  <si>
    <t>NXM-1600S/3300</t>
    <phoneticPr fontId="31" type="noConversion"/>
  </si>
  <si>
    <t>GKM1E-800M/3400 630A+通讯</t>
    <phoneticPr fontId="25" type="noConversion"/>
  </si>
  <si>
    <t>全部4折</t>
    <phoneticPr fontId="25" type="noConversion"/>
  </si>
  <si>
    <t>MW45-3200</t>
    <phoneticPr fontId="25" type="noConversion"/>
  </si>
  <si>
    <t>MN30-100M/3300</t>
    <phoneticPr fontId="25" type="noConversion"/>
  </si>
  <si>
    <t>MN30-225M/3300</t>
    <phoneticPr fontId="25" type="noConversion"/>
  </si>
  <si>
    <t>MN30-225H/3300</t>
    <phoneticPr fontId="25" type="noConversion"/>
  </si>
  <si>
    <t>MN30-225M/3310</t>
    <phoneticPr fontId="25" type="noConversion"/>
  </si>
  <si>
    <t>乾友科技</t>
    <phoneticPr fontId="25" type="noConversion"/>
  </si>
  <si>
    <t>重合闸漏电断路器</t>
    <phoneticPr fontId="25" type="noConversion"/>
  </si>
  <si>
    <t>QKM1-100L/3300</t>
    <phoneticPr fontId="25" type="noConversion"/>
  </si>
  <si>
    <t>QKM1-225L/3300</t>
    <phoneticPr fontId="25" type="noConversion"/>
  </si>
  <si>
    <t>万新电气</t>
    <phoneticPr fontId="25" type="noConversion"/>
  </si>
  <si>
    <t>泰邦电器</t>
    <phoneticPr fontId="25" type="noConversion"/>
  </si>
  <si>
    <t>继电器控制模块</t>
    <phoneticPr fontId="25" type="noConversion"/>
  </si>
  <si>
    <t>RQD-A</t>
    <phoneticPr fontId="25" type="noConversion"/>
  </si>
  <si>
    <t>BPQ-A</t>
    <phoneticPr fontId="25" type="noConversion"/>
  </si>
  <si>
    <t>XFSHB-A</t>
    <phoneticPr fontId="25" type="noConversion"/>
  </si>
  <si>
    <t>10KV-50*6</t>
    <phoneticPr fontId="31" type="noConversion"/>
  </si>
  <si>
    <t>VS1-12/630-31.5 手车式L</t>
    <phoneticPr fontId="31" type="noConversion"/>
  </si>
  <si>
    <t>VS1-12/1250-25 手车式L</t>
    <phoneticPr fontId="31" type="noConversion"/>
  </si>
  <si>
    <t>VS1-12/1250-31.5 手车式L</t>
    <phoneticPr fontId="31" type="noConversion"/>
  </si>
  <si>
    <t>VS1-12/1250-20 手车式T</t>
    <phoneticPr fontId="31" type="noConversion"/>
  </si>
  <si>
    <t>VS1-GL/1250A-08T</t>
    <phoneticPr fontId="31" type="noConversion"/>
  </si>
  <si>
    <t>VS1-PT/630A-08L</t>
    <phoneticPr fontId="31" type="noConversion"/>
  </si>
  <si>
    <t>VS1-PTB/630A-08L</t>
    <phoneticPr fontId="31" type="noConversion"/>
  </si>
  <si>
    <t>VS1-PTB/630A-10L</t>
    <phoneticPr fontId="31" type="noConversion"/>
  </si>
  <si>
    <t>VS1-PT/630A-08T</t>
    <phoneticPr fontId="31" type="noConversion"/>
  </si>
  <si>
    <t>VS1-JL/630A-10L</t>
    <phoneticPr fontId="31" type="noConversion"/>
  </si>
  <si>
    <t>VS1-JL/630A-10T</t>
    <phoneticPr fontId="31" type="noConversion"/>
  </si>
  <si>
    <t>VS1-JL/1250A-10T</t>
    <phoneticPr fontId="31" type="noConversion"/>
  </si>
  <si>
    <t>FZN25-12RD/160-31.5 电动</t>
    <phoneticPr fontId="25" type="noConversion"/>
  </si>
  <si>
    <t>FN12-12RD/125-31.5 手动</t>
    <phoneticPr fontId="25" type="noConversion"/>
  </si>
  <si>
    <t>FN12-12D/630-20 电动</t>
    <phoneticPr fontId="25" type="noConversion"/>
  </si>
  <si>
    <t>FN12-12RD/125-31.5 电动</t>
    <phoneticPr fontId="25" type="noConversion"/>
  </si>
  <si>
    <t>JDZ-10 10/0.1 0.22 0.5</t>
    <phoneticPr fontId="25" type="noConversion"/>
  </si>
  <si>
    <t>JDZ10-10 10/0.1 0.22 0.5</t>
    <phoneticPr fontId="25" type="noConversion"/>
  </si>
  <si>
    <t>HC-600-3</t>
    <phoneticPr fontId="25" type="noConversion"/>
  </si>
  <si>
    <t>HC-600-9</t>
    <phoneticPr fontId="25" type="noConversion"/>
  </si>
  <si>
    <t>GKP-150</t>
    <phoneticPr fontId="31" type="noConversion"/>
  </si>
  <si>
    <t>上海知棋</t>
    <phoneticPr fontId="31" type="noConversion"/>
  </si>
  <si>
    <t>GKP-152</t>
    <phoneticPr fontId="31" type="noConversion"/>
  </si>
  <si>
    <t>合肥三德力</t>
    <phoneticPr fontId="25" type="noConversion"/>
  </si>
  <si>
    <t>TBP-10-12.7/4P</t>
    <phoneticPr fontId="25" type="noConversion"/>
  </si>
  <si>
    <t>55*82 1600A</t>
    <phoneticPr fontId="25" type="noConversion"/>
  </si>
  <si>
    <t>109*107 3150A</t>
    <phoneticPr fontId="25" type="noConversion"/>
  </si>
  <si>
    <t>CH3-10Q/250</t>
    <phoneticPr fontId="25" type="noConversion"/>
  </si>
  <si>
    <t>数显电流.电压表</t>
    <phoneticPr fontId="31" type="noConversion"/>
  </si>
  <si>
    <t>铜排</t>
    <phoneticPr fontId="25" type="noConversion"/>
  </si>
  <si>
    <t>TMY-25*6</t>
    <phoneticPr fontId="25" type="noConversion"/>
  </si>
  <si>
    <t>铜铝排</t>
    <phoneticPr fontId="25" type="noConversion"/>
  </si>
  <si>
    <t>铝排</t>
    <phoneticPr fontId="25" type="noConversion"/>
  </si>
  <si>
    <t>壳体</t>
    <phoneticPr fontId="25" type="noConversion"/>
  </si>
  <si>
    <t>GCS-1200*1000*2200</t>
    <phoneticPr fontId="25" type="noConversion"/>
  </si>
  <si>
    <t>GCS-2.5-630A</t>
    <phoneticPr fontId="25" type="noConversion"/>
  </si>
  <si>
    <t>HXGN-900*900*2200</t>
    <phoneticPr fontId="31" type="noConversion"/>
  </si>
  <si>
    <t>XGN-1000*1500*2300</t>
    <phoneticPr fontId="25" type="noConversion"/>
  </si>
  <si>
    <t>XGN-375*1000*1885</t>
    <phoneticPr fontId="25" type="noConversion"/>
  </si>
  <si>
    <t>XGN-650*1000*1885</t>
    <phoneticPr fontId="25" type="noConversion"/>
  </si>
  <si>
    <t>XGN-700*1000*1885</t>
    <phoneticPr fontId="25" type="noConversion"/>
  </si>
  <si>
    <t>D1(单相一),D2(单相多),S1(三相一),S2(三相多),S3(互感式)</t>
    <phoneticPr fontId="25" type="noConversion"/>
  </si>
  <si>
    <t xml:space="preserve"> 648*450*150</t>
    <phoneticPr fontId="25" type="noConversion"/>
  </si>
  <si>
    <t xml:space="preserve"> 648*800*150</t>
    <phoneticPr fontId="25" type="noConversion"/>
  </si>
  <si>
    <t xml:space="preserve"> 1066*1000*180</t>
    <phoneticPr fontId="25" type="noConversion"/>
  </si>
  <si>
    <t xml:space="preserve"> 1330*1000*180</t>
    <phoneticPr fontId="25" type="noConversion"/>
  </si>
  <si>
    <t>三相3</t>
    <phoneticPr fontId="25" type="noConversion"/>
  </si>
  <si>
    <t xml:space="preserve"> 1080*550*140</t>
    <phoneticPr fontId="25" type="noConversion"/>
  </si>
  <si>
    <t>201不锈钢  1.2</t>
    <phoneticPr fontId="25" type="noConversion"/>
  </si>
  <si>
    <t>201不锈钢  1.5</t>
    <phoneticPr fontId="25" type="noConversion"/>
  </si>
  <si>
    <t>201不锈钢  2.0</t>
    <phoneticPr fontId="25" type="noConversion"/>
  </si>
  <si>
    <t>304不锈钢  1.0</t>
    <phoneticPr fontId="25" type="noConversion"/>
  </si>
  <si>
    <t>304不锈钢  1.2</t>
    <phoneticPr fontId="25" type="noConversion"/>
  </si>
  <si>
    <t>304不锈钢  2.0</t>
    <phoneticPr fontId="25" type="noConversion"/>
  </si>
  <si>
    <t>华自电力</t>
    <phoneticPr fontId="25" type="noConversion"/>
  </si>
  <si>
    <t>GZDW-65AH/220V 1</t>
    <phoneticPr fontId="25" type="noConversion"/>
  </si>
  <si>
    <t>PZ72-E4</t>
    <phoneticPr fontId="31" type="noConversion"/>
  </si>
  <si>
    <t>多功能数显表</t>
    <phoneticPr fontId="31" type="noConversion"/>
  </si>
  <si>
    <t>PZ80-AI3</t>
    <phoneticPr fontId="31" type="noConversion"/>
  </si>
  <si>
    <t>PZ80-E4</t>
    <phoneticPr fontId="31" type="noConversion"/>
  </si>
  <si>
    <t>PZ96-AI3</t>
    <phoneticPr fontId="31" type="noConversion"/>
  </si>
  <si>
    <t>PZ96-E4</t>
    <phoneticPr fontId="31" type="noConversion"/>
  </si>
  <si>
    <t>PZ42-E4</t>
    <phoneticPr fontId="31" type="noConversion"/>
  </si>
  <si>
    <t>LRD08C 2.5-4A</t>
    <phoneticPr fontId="31" type="noConversion"/>
  </si>
  <si>
    <t>热继电器</t>
    <phoneticPr fontId="31" type="noConversion"/>
  </si>
  <si>
    <t>LRD10C 4-6A</t>
    <phoneticPr fontId="31" type="noConversion"/>
  </si>
  <si>
    <t>LRD12C 5.5-8A</t>
    <phoneticPr fontId="31" type="noConversion"/>
  </si>
  <si>
    <t>LRD14C 7-10A</t>
    <phoneticPr fontId="31" type="noConversion"/>
  </si>
  <si>
    <t>LRD16C 9-13A</t>
    <phoneticPr fontId="31" type="noConversion"/>
  </si>
  <si>
    <t>LRD21C 12-18A</t>
    <phoneticPr fontId="31" type="noConversion"/>
  </si>
  <si>
    <t>LRD22C 16-24A</t>
    <phoneticPr fontId="31" type="noConversion"/>
  </si>
  <si>
    <t>LRD32C 22-32A</t>
    <phoneticPr fontId="31" type="noConversion"/>
  </si>
  <si>
    <t>LRD35C 30-38A</t>
    <phoneticPr fontId="31" type="noConversion"/>
  </si>
  <si>
    <t>LRD3353C 23-32A</t>
    <phoneticPr fontId="31" type="noConversion"/>
  </si>
  <si>
    <t>LRD3359C 48-65A</t>
    <phoneticPr fontId="31" type="noConversion"/>
  </si>
  <si>
    <t>LRD3363C 63-80A</t>
    <phoneticPr fontId="31" type="noConversion"/>
  </si>
  <si>
    <t>LRD3365C 80-104A</t>
    <phoneticPr fontId="31" type="noConversion"/>
  </si>
  <si>
    <t>LRD480C 51-81A</t>
    <phoneticPr fontId="31" type="noConversion"/>
  </si>
  <si>
    <t>LRD481C 62-99A</t>
    <phoneticPr fontId="31" type="noConversion"/>
  </si>
  <si>
    <t>LRD482C 84-135A</t>
    <phoneticPr fontId="31" type="noConversion"/>
  </si>
  <si>
    <t>LRD484C 146-234A</t>
    <phoneticPr fontId="31" type="noConversion"/>
  </si>
  <si>
    <t>LRD486C 208-333A</t>
    <phoneticPr fontId="31" type="noConversion"/>
  </si>
  <si>
    <t>LRD487C 259-414A</t>
    <phoneticPr fontId="31" type="noConversion"/>
  </si>
  <si>
    <t>LRD488C 321-513A</t>
    <phoneticPr fontId="31" type="noConversion"/>
  </si>
  <si>
    <t>LRD489C 394-630A</t>
    <phoneticPr fontId="31" type="noConversion"/>
  </si>
  <si>
    <t>微型断路器</t>
    <phoneticPr fontId="31" type="noConversion"/>
  </si>
  <si>
    <t>WG-1000/3W</t>
    <phoneticPr fontId="31" type="noConversion"/>
  </si>
  <si>
    <t>浙江泰成</t>
    <phoneticPr fontId="25" type="noConversion"/>
  </si>
  <si>
    <t>管理</t>
    <phoneticPr fontId="25" type="noConversion"/>
  </si>
  <si>
    <t>高压进线柜</t>
    <phoneticPr fontId="25" type="noConversion"/>
  </si>
  <si>
    <t>AH1.13</t>
    <phoneticPr fontId="31" type="noConversion"/>
  </si>
  <si>
    <t>KYN28A-800*1500*2300</t>
    <phoneticPr fontId="25" type="noConversion"/>
  </si>
  <si>
    <t>KYN28A-2300*1500</t>
    <phoneticPr fontId="31" type="noConversion"/>
  </si>
  <si>
    <t>北京高开</t>
    <phoneticPr fontId="31" type="noConversion"/>
  </si>
  <si>
    <t>GKP-152</t>
    <phoneticPr fontId="31" type="noConversion"/>
  </si>
  <si>
    <t>LZZBJ9-10 0.2/0.5/10P10</t>
    <phoneticPr fontId="31" type="noConversion"/>
  </si>
  <si>
    <t>浙江泰成</t>
    <phoneticPr fontId="31" type="noConversion"/>
  </si>
  <si>
    <t>6L2-A</t>
    <phoneticPr fontId="31" type="noConversion"/>
  </si>
  <si>
    <t>HY5WZ-17/45</t>
    <phoneticPr fontId="25" type="noConversion"/>
  </si>
  <si>
    <t>LXK-120</t>
    <phoneticPr fontId="31" type="noConversion"/>
  </si>
  <si>
    <t>CH3-10Q/180</t>
    <phoneticPr fontId="31" type="noConversion"/>
  </si>
  <si>
    <t>DXN-10Q</t>
    <phoneticPr fontId="25" type="noConversion"/>
  </si>
  <si>
    <t>WSK-G</t>
    <phoneticPr fontId="31" type="noConversion"/>
  </si>
  <si>
    <t>TMY-80*8</t>
    <phoneticPr fontId="25" type="noConversion"/>
  </si>
  <si>
    <t>水平排</t>
    <phoneticPr fontId="25" type="noConversion"/>
  </si>
  <si>
    <t>接地排</t>
    <phoneticPr fontId="25" type="noConversion"/>
  </si>
  <si>
    <t>TMY-50*5</t>
    <phoneticPr fontId="25" type="noConversion"/>
  </si>
  <si>
    <t>高压计量柜</t>
    <phoneticPr fontId="25" type="noConversion"/>
  </si>
  <si>
    <t>AH2.12</t>
    <phoneticPr fontId="31" type="noConversion"/>
  </si>
  <si>
    <t>VS1-JL/1250A-08L</t>
    <phoneticPr fontId="31" type="noConversion"/>
  </si>
  <si>
    <t>LZZBJ9-10 0.2S</t>
    <phoneticPr fontId="25" type="noConversion"/>
  </si>
  <si>
    <t>XRNP-10/0.5A</t>
    <phoneticPr fontId="31" type="noConversion"/>
  </si>
  <si>
    <t>JDZ10-10 10/0.1 0.2</t>
    <phoneticPr fontId="31" type="noConversion"/>
  </si>
  <si>
    <t>CH3-10Q/180</t>
    <phoneticPr fontId="31" type="noConversion"/>
  </si>
  <si>
    <t>AH3.11</t>
    <phoneticPr fontId="31" type="noConversion"/>
  </si>
  <si>
    <t>KYN28A-800*1500*2300</t>
    <phoneticPr fontId="25" type="noConversion"/>
  </si>
  <si>
    <t>北京高开</t>
    <phoneticPr fontId="31" type="noConversion"/>
  </si>
  <si>
    <t>浙江泰成</t>
    <phoneticPr fontId="31" type="noConversion"/>
  </si>
  <si>
    <t>AH4~6.9.10</t>
    <phoneticPr fontId="31" type="noConversion"/>
  </si>
  <si>
    <t>VS1-12/630-25 手车式L</t>
  </si>
  <si>
    <t>LZZBJ9-10 0.5/10P10</t>
    <phoneticPr fontId="31" type="noConversion"/>
  </si>
  <si>
    <t>LXK-100</t>
    <phoneticPr fontId="31" type="noConversion"/>
  </si>
  <si>
    <t>高压母联柜</t>
    <phoneticPr fontId="25" type="noConversion"/>
  </si>
  <si>
    <t>AH7</t>
    <phoneticPr fontId="31" type="noConversion"/>
  </si>
  <si>
    <t>高压隔离柜</t>
    <phoneticPr fontId="25" type="noConversion"/>
  </si>
  <si>
    <t>AH8</t>
    <phoneticPr fontId="31" type="noConversion"/>
  </si>
  <si>
    <t>VS1-GL/1250A-08L</t>
  </si>
  <si>
    <t>型号及规格</t>
    <phoneticPr fontId="25" type="noConversion"/>
  </si>
  <si>
    <t>名称</t>
    <phoneticPr fontId="25" type="noConversion"/>
  </si>
  <si>
    <t>折扣11</t>
    <phoneticPr fontId="25" type="noConversion"/>
  </si>
  <si>
    <t>面价12</t>
    <phoneticPr fontId="25" type="noConversion"/>
  </si>
  <si>
    <t>精益联合集团</t>
    <phoneticPr fontId="25" type="noConversion"/>
  </si>
  <si>
    <t>刀熔开关</t>
    <phoneticPr fontId="25" type="noConversion"/>
  </si>
  <si>
    <t>JENW1-2000-400M/4P D</t>
    <phoneticPr fontId="25" type="noConversion"/>
  </si>
  <si>
    <t>JENW1-6300-6300M/4P D</t>
    <phoneticPr fontId="25" type="noConversion"/>
  </si>
  <si>
    <t>DW15-630/3P</t>
    <phoneticPr fontId="25" type="noConversion"/>
  </si>
  <si>
    <t>框架断路器</t>
    <phoneticPr fontId="25" type="noConversion"/>
  </si>
  <si>
    <t>DW15-1000/3P</t>
    <phoneticPr fontId="25" type="noConversion"/>
  </si>
  <si>
    <t>DW15-2000/3P</t>
    <phoneticPr fontId="25" type="noConversion"/>
  </si>
  <si>
    <t>DW15-2500/3P</t>
    <phoneticPr fontId="25" type="noConversion"/>
  </si>
  <si>
    <t>DW15-4000/3P</t>
    <phoneticPr fontId="25" type="noConversion"/>
  </si>
  <si>
    <t>DW15-5000/3P</t>
    <phoneticPr fontId="25" type="noConversion"/>
  </si>
  <si>
    <t>JENM1-100L/3300</t>
    <phoneticPr fontId="25" type="noConversion"/>
  </si>
  <si>
    <t>JENM1-63L/4300</t>
    <phoneticPr fontId="25" type="noConversion"/>
  </si>
  <si>
    <t>JENQ2-63/3P</t>
    <phoneticPr fontId="25" type="noConversion"/>
  </si>
  <si>
    <t>JENQ2-63/4P</t>
    <phoneticPr fontId="25" type="noConversion"/>
  </si>
  <si>
    <t>CB双电源开关</t>
    <phoneticPr fontId="25" type="noConversion"/>
  </si>
  <si>
    <t>JENQ1B-225/4 125A</t>
    <phoneticPr fontId="25" type="noConversion"/>
  </si>
  <si>
    <t>JENQ1B-1600/4 1000A</t>
    <phoneticPr fontId="25" type="noConversion"/>
  </si>
  <si>
    <t>JENQ1B-1600/4 1250A</t>
    <phoneticPr fontId="25" type="noConversion"/>
  </si>
  <si>
    <t>PC双电源开关</t>
    <phoneticPr fontId="25" type="noConversion"/>
  </si>
  <si>
    <t>PC双电源开关</t>
    <phoneticPr fontId="25" type="noConversion"/>
  </si>
  <si>
    <t>XJ5</t>
    <phoneticPr fontId="25" type="noConversion"/>
  </si>
  <si>
    <t>相序继电器</t>
    <phoneticPr fontId="25" type="noConversion"/>
  </si>
  <si>
    <t>JD-5</t>
    <phoneticPr fontId="25" type="noConversion"/>
  </si>
  <si>
    <t>JS14A</t>
    <phoneticPr fontId="25" type="noConversion"/>
  </si>
  <si>
    <t>时间继电器</t>
    <phoneticPr fontId="25" type="noConversion"/>
  </si>
  <si>
    <t>精益联合集团</t>
    <phoneticPr fontId="25" type="noConversion"/>
  </si>
  <si>
    <t>AC30-2C/10A</t>
    <phoneticPr fontId="25" type="noConversion"/>
  </si>
  <si>
    <t>AC30-3C/10A</t>
    <phoneticPr fontId="25" type="noConversion"/>
  </si>
  <si>
    <t>AC30-4C/16A</t>
    <phoneticPr fontId="25" type="noConversion"/>
  </si>
  <si>
    <t>电流.电压表</t>
    <phoneticPr fontId="31" type="noConversion"/>
  </si>
  <si>
    <t>电流.电压表</t>
    <phoneticPr fontId="31" type="noConversion"/>
  </si>
  <si>
    <t>85L1-A</t>
    <phoneticPr fontId="25" type="noConversion"/>
  </si>
  <si>
    <t>85L1-HZ</t>
    <phoneticPr fontId="25" type="noConversion"/>
  </si>
  <si>
    <t>85L1-V</t>
    <phoneticPr fontId="25" type="noConversion"/>
  </si>
  <si>
    <t>RT18-32X/1P</t>
    <phoneticPr fontId="25" type="noConversion"/>
  </si>
  <si>
    <t>RT18-63X/1P</t>
    <phoneticPr fontId="25" type="noConversion"/>
  </si>
  <si>
    <t>RT16-160(NT0)</t>
    <phoneticPr fontId="31" type="noConversion"/>
  </si>
  <si>
    <t>RT16-250(NT1)</t>
    <phoneticPr fontId="31" type="noConversion"/>
  </si>
  <si>
    <t>RT16-400(NT2)</t>
    <phoneticPr fontId="31" type="noConversion"/>
  </si>
  <si>
    <t>RT16-630(NT3)</t>
    <phoneticPr fontId="31" type="noConversion"/>
  </si>
  <si>
    <t>LA38-11</t>
    <phoneticPr fontId="31" type="noConversion"/>
  </si>
  <si>
    <t>CJ20-100</t>
    <phoneticPr fontId="25" type="noConversion"/>
  </si>
  <si>
    <t>CJ20-160</t>
    <phoneticPr fontId="25" type="noConversion"/>
  </si>
  <si>
    <t>CJ20-250</t>
    <phoneticPr fontId="25" type="noConversion"/>
  </si>
  <si>
    <t>CJ19-25</t>
    <phoneticPr fontId="25" type="noConversion"/>
  </si>
  <si>
    <t>CJ19-32</t>
    <phoneticPr fontId="25" type="noConversion"/>
  </si>
  <si>
    <t>CJ19-43</t>
    <phoneticPr fontId="25" type="noConversion"/>
  </si>
  <si>
    <t>CJ19-63</t>
    <phoneticPr fontId="25" type="noConversion"/>
  </si>
  <si>
    <t>JR36-250</t>
    <phoneticPr fontId="25" type="noConversion"/>
  </si>
  <si>
    <t>JR36-630</t>
    <phoneticPr fontId="25" type="noConversion"/>
  </si>
  <si>
    <t>BSMJ0.4-22-3</t>
    <phoneticPr fontId="25" type="noConversion"/>
  </si>
  <si>
    <t>JKXS-30/480-7</t>
    <phoneticPr fontId="25" type="noConversion"/>
  </si>
  <si>
    <t>JKXF-20/250-7</t>
    <phoneticPr fontId="25" type="noConversion"/>
  </si>
  <si>
    <t>JK-8CS/450-50</t>
    <phoneticPr fontId="25" type="noConversion"/>
  </si>
  <si>
    <t>JK-8CS/450-40</t>
    <phoneticPr fontId="25" type="noConversion"/>
  </si>
  <si>
    <t>RPCF-16</t>
    <phoneticPr fontId="31" type="noConversion"/>
  </si>
  <si>
    <t>补偿控制器</t>
    <phoneticPr fontId="31" type="noConversion"/>
  </si>
  <si>
    <t>//</t>
    <phoneticPr fontId="31" type="noConversion"/>
  </si>
  <si>
    <t>NH40-32/3</t>
    <phoneticPr fontId="25" type="noConversion"/>
  </si>
  <si>
    <t>NH40-40/3</t>
    <phoneticPr fontId="25" type="noConversion"/>
  </si>
  <si>
    <t>NH40-63/3</t>
    <phoneticPr fontId="25" type="noConversion"/>
  </si>
  <si>
    <t>NH40-100/3</t>
    <phoneticPr fontId="25" type="noConversion"/>
  </si>
  <si>
    <t>HD13BX-1000/31.</t>
    <phoneticPr fontId="25" type="noConversion"/>
  </si>
  <si>
    <t>HD13BX-1500/31.</t>
    <phoneticPr fontId="25" type="noConversion"/>
  </si>
  <si>
    <t>NH4-2P/125A</t>
    <phoneticPr fontId="25" type="noConversion"/>
  </si>
  <si>
    <t>S9</t>
    <phoneticPr fontId="25" type="noConversion"/>
  </si>
  <si>
    <t>QSA-1000/4.</t>
    <phoneticPr fontId="25" type="noConversion"/>
  </si>
  <si>
    <t>QSA-1250/3.</t>
    <phoneticPr fontId="25" type="noConversion"/>
  </si>
  <si>
    <t>QSA-1250/4.</t>
    <phoneticPr fontId="25" type="noConversion"/>
  </si>
  <si>
    <t>QSA-800/4.</t>
    <phoneticPr fontId="25" type="noConversion"/>
  </si>
  <si>
    <t>QSA-63/3.</t>
    <phoneticPr fontId="25" type="noConversion"/>
  </si>
  <si>
    <t>QSA-160/3.</t>
    <phoneticPr fontId="25" type="noConversion"/>
  </si>
  <si>
    <t>QSA-250/3.</t>
    <phoneticPr fontId="25" type="noConversion"/>
  </si>
  <si>
    <t>QSA-400/3.</t>
    <phoneticPr fontId="25" type="noConversion"/>
  </si>
  <si>
    <t>QSA-630/3.</t>
    <phoneticPr fontId="25" type="noConversion"/>
  </si>
  <si>
    <t>QSA-63/4.</t>
    <phoneticPr fontId="25" type="noConversion"/>
  </si>
  <si>
    <t>JR36-20A</t>
    <phoneticPr fontId="25" type="noConversion"/>
  </si>
  <si>
    <t>JRS1-80F.</t>
    <phoneticPr fontId="25" type="noConversion"/>
  </si>
  <si>
    <t>CJ19-115/10</t>
    <phoneticPr fontId="25" type="noConversion"/>
  </si>
  <si>
    <t>CJ19-170/10</t>
    <phoneticPr fontId="25" type="noConversion"/>
  </si>
  <si>
    <t>NXC-06</t>
    <phoneticPr fontId="31" type="noConversion"/>
  </si>
  <si>
    <t>NXC-38</t>
    <phoneticPr fontId="25" type="noConversion"/>
  </si>
  <si>
    <t>NXC-65</t>
    <phoneticPr fontId="25" type="noConversion"/>
  </si>
  <si>
    <t>NXC-75</t>
    <phoneticPr fontId="25" type="noConversion"/>
  </si>
  <si>
    <t>NXC-85</t>
    <phoneticPr fontId="25" type="noConversion"/>
  </si>
  <si>
    <t>NXC-100</t>
    <phoneticPr fontId="25" type="noConversion"/>
  </si>
  <si>
    <t>NXC-120</t>
    <phoneticPr fontId="25" type="noConversion"/>
  </si>
  <si>
    <t>热继电器</t>
    <phoneticPr fontId="25" type="noConversion"/>
  </si>
  <si>
    <t>NXR-25</t>
    <phoneticPr fontId="25" type="noConversion"/>
  </si>
  <si>
    <t>NXR-38</t>
    <phoneticPr fontId="25" type="noConversion"/>
  </si>
  <si>
    <t>热继电器</t>
    <phoneticPr fontId="25" type="noConversion"/>
  </si>
  <si>
    <t>NXR-100</t>
    <phoneticPr fontId="25" type="noConversion"/>
  </si>
  <si>
    <t>热继电器</t>
    <phoneticPr fontId="25" type="noConversion"/>
  </si>
  <si>
    <t>NXR-200</t>
    <phoneticPr fontId="25" type="noConversion"/>
  </si>
  <si>
    <t>NM1-63S/3310</t>
    <phoneticPr fontId="25" type="noConversion"/>
  </si>
  <si>
    <t>NM1-800S/3340</t>
    <phoneticPr fontId="25" type="noConversion"/>
  </si>
  <si>
    <t>NXM-160S/3300</t>
    <phoneticPr fontId="31" type="noConversion"/>
  </si>
  <si>
    <t>NXM-320S/3300</t>
    <phoneticPr fontId="31" type="noConversion"/>
  </si>
  <si>
    <t>ND16-22F</t>
    <phoneticPr fontId="25" type="noConversion"/>
  </si>
  <si>
    <t>NM1LE-400H/4340B</t>
    <phoneticPr fontId="25" type="noConversion"/>
  </si>
  <si>
    <t>//</t>
    <phoneticPr fontId="31" type="noConversion"/>
  </si>
  <si>
    <t>GKM1E-100M/3400+通讯</t>
    <phoneticPr fontId="25" type="noConversion"/>
  </si>
  <si>
    <t>GKM1E-250M/3400+通讯</t>
    <phoneticPr fontId="25" type="noConversion"/>
  </si>
  <si>
    <t>GKM1E-400M/3400+通讯</t>
    <phoneticPr fontId="25" type="noConversion"/>
  </si>
  <si>
    <t>GKM1E-800M/3400+通讯</t>
    <phoneticPr fontId="25" type="noConversion"/>
  </si>
  <si>
    <t>三锁两钥匙</t>
    <phoneticPr fontId="25" type="noConversion"/>
  </si>
  <si>
    <t>MW45-QY</t>
    <phoneticPr fontId="25" type="noConversion"/>
  </si>
  <si>
    <t>欠压脱扣器</t>
    <phoneticPr fontId="25" type="noConversion"/>
  </si>
  <si>
    <t>MN30-100S/3300</t>
    <phoneticPr fontId="25" type="noConversion"/>
  </si>
  <si>
    <t>MN30-225S/3300</t>
    <phoneticPr fontId="25" type="noConversion"/>
  </si>
  <si>
    <t>MN30-800S/3300</t>
    <phoneticPr fontId="25" type="noConversion"/>
  </si>
  <si>
    <t>MN30-100H/3300</t>
    <phoneticPr fontId="25" type="noConversion"/>
  </si>
  <si>
    <t>MN30-400H/3300</t>
    <phoneticPr fontId="25" type="noConversion"/>
  </si>
  <si>
    <t>MN30-800H/3300 630A</t>
    <phoneticPr fontId="25" type="noConversion"/>
  </si>
  <si>
    <t>MN30-800H/3300</t>
    <phoneticPr fontId="25" type="noConversion"/>
  </si>
  <si>
    <t>MN30-100M/3310</t>
    <phoneticPr fontId="25" type="noConversion"/>
  </si>
  <si>
    <t>WR-A25/4P</t>
    <phoneticPr fontId="25" type="noConversion"/>
  </si>
  <si>
    <t>WR-A50/4P</t>
    <phoneticPr fontId="25" type="noConversion"/>
  </si>
  <si>
    <t>WR-C40/4P</t>
    <phoneticPr fontId="25" type="noConversion"/>
  </si>
  <si>
    <t>指明集团</t>
    <phoneticPr fontId="25" type="noConversion"/>
  </si>
  <si>
    <t>指明集团</t>
    <phoneticPr fontId="25" type="noConversion"/>
  </si>
  <si>
    <t>指明集团</t>
    <phoneticPr fontId="25" type="noConversion"/>
  </si>
  <si>
    <t>QKM3L-100 3P+N RS485</t>
    <phoneticPr fontId="25" type="noConversion"/>
  </si>
  <si>
    <t>乾友科技</t>
    <phoneticPr fontId="25" type="noConversion"/>
  </si>
  <si>
    <t>重合闸漏电断路器</t>
    <phoneticPr fontId="25" type="noConversion"/>
  </si>
  <si>
    <t>QKM3L-250 3P+N RS485</t>
    <phoneticPr fontId="25" type="noConversion"/>
  </si>
  <si>
    <t>QKM3L-400 3P+N RS485</t>
    <phoneticPr fontId="25" type="noConversion"/>
  </si>
  <si>
    <t>乾友科技</t>
    <phoneticPr fontId="25" type="noConversion"/>
  </si>
  <si>
    <t>重合闸漏电断路器</t>
    <phoneticPr fontId="25" type="noConversion"/>
  </si>
  <si>
    <t>QKM3L-630 3P+N RS485</t>
    <phoneticPr fontId="25" type="noConversion"/>
  </si>
  <si>
    <t>JGX-SH</t>
    <phoneticPr fontId="25" type="noConversion"/>
  </si>
  <si>
    <t>复合开关</t>
    <phoneticPr fontId="25" type="noConversion"/>
  </si>
  <si>
    <t>JKW-12J</t>
    <phoneticPr fontId="25" type="noConversion"/>
  </si>
  <si>
    <t>万新电气</t>
    <phoneticPr fontId="25" type="noConversion"/>
  </si>
  <si>
    <t>补偿控制器</t>
    <phoneticPr fontId="25" type="noConversion"/>
  </si>
  <si>
    <t>TBCPS-45</t>
    <phoneticPr fontId="25" type="noConversion"/>
  </si>
  <si>
    <t>TBCPS-125</t>
    <phoneticPr fontId="25" type="noConversion"/>
  </si>
  <si>
    <t>泰邦电器</t>
    <phoneticPr fontId="25" type="noConversion"/>
  </si>
  <si>
    <t>TBCPS-45D</t>
    <phoneticPr fontId="25" type="noConversion"/>
  </si>
  <si>
    <t>TBCPS-125D</t>
    <phoneticPr fontId="25" type="noConversion"/>
  </si>
  <si>
    <t>TBCPS-45J</t>
    <phoneticPr fontId="25" type="noConversion"/>
  </si>
  <si>
    <t>泰邦电器</t>
    <phoneticPr fontId="25" type="noConversion"/>
  </si>
  <si>
    <t>TBCPS-125J</t>
    <phoneticPr fontId="25" type="noConversion"/>
  </si>
  <si>
    <t>TBXF-A</t>
    <phoneticPr fontId="25" type="noConversion"/>
  </si>
  <si>
    <t>TBXF-A100</t>
    <phoneticPr fontId="25" type="noConversion"/>
  </si>
  <si>
    <t>TBXF-A225</t>
    <phoneticPr fontId="25" type="noConversion"/>
  </si>
  <si>
    <t>TBXF-A400</t>
    <phoneticPr fontId="25" type="noConversion"/>
  </si>
  <si>
    <t>TBXF-A630</t>
    <phoneticPr fontId="25" type="noConversion"/>
  </si>
  <si>
    <t>TBXF-A1000</t>
    <phoneticPr fontId="25" type="noConversion"/>
  </si>
  <si>
    <t>继电器控制模块</t>
    <phoneticPr fontId="25" type="noConversion"/>
  </si>
  <si>
    <t>继电器控制模块</t>
    <phoneticPr fontId="25" type="noConversion"/>
  </si>
  <si>
    <t>10KV-60*10</t>
    <phoneticPr fontId="25" type="noConversion"/>
  </si>
  <si>
    <t>VS1-12/630-20 手车式L</t>
    <phoneticPr fontId="31" type="noConversion"/>
  </si>
  <si>
    <t>卓维电气</t>
    <phoneticPr fontId="31" type="noConversion"/>
  </si>
  <si>
    <t>VS1-12/630-25 手车式L</t>
    <phoneticPr fontId="31" type="noConversion"/>
  </si>
  <si>
    <t>卓维电气</t>
    <phoneticPr fontId="31" type="noConversion"/>
  </si>
  <si>
    <t>VS1-12/1250-20 手车式L</t>
    <phoneticPr fontId="31" type="noConversion"/>
  </si>
  <si>
    <t>VS1-12/1250-31.5 手车式L</t>
    <phoneticPr fontId="31" type="noConversion"/>
  </si>
  <si>
    <t>VS1-12/630-20 手车式T</t>
    <phoneticPr fontId="31" type="noConversion"/>
  </si>
  <si>
    <t>VS1-12/630-25 手车式T</t>
    <phoneticPr fontId="31" type="noConversion"/>
  </si>
  <si>
    <t>VS1-12/630-31.5 手车式T</t>
    <phoneticPr fontId="31" type="noConversion"/>
  </si>
  <si>
    <t>卓维电气</t>
    <phoneticPr fontId="31" type="noConversion"/>
  </si>
  <si>
    <t>VS1-12/1250-25 手车式T</t>
    <phoneticPr fontId="31" type="noConversion"/>
  </si>
  <si>
    <t>VS1-12/1250-31.5 手车式T</t>
    <phoneticPr fontId="31" type="noConversion"/>
  </si>
  <si>
    <t>VS1-12/1600-31.5 手车式T</t>
    <phoneticPr fontId="31" type="noConversion"/>
  </si>
  <si>
    <t>VS1-12/2000-31.5 手车式T</t>
    <phoneticPr fontId="31" type="noConversion"/>
  </si>
  <si>
    <t>VS1-GL/630A-08L</t>
    <phoneticPr fontId="31" type="noConversion"/>
  </si>
  <si>
    <t>VS1-GL/1250A-08L</t>
    <phoneticPr fontId="31" type="noConversion"/>
  </si>
  <si>
    <t>VS1-GL/630A-08T</t>
    <phoneticPr fontId="31" type="noConversion"/>
  </si>
  <si>
    <t>VS1-GL/1600A-08T</t>
    <phoneticPr fontId="31" type="noConversion"/>
  </si>
  <si>
    <t>VS1-GL/1600A-10T</t>
    <phoneticPr fontId="31" type="noConversion"/>
  </si>
  <si>
    <t>VS1-GL/2000A-10T</t>
    <phoneticPr fontId="31" type="noConversion"/>
  </si>
  <si>
    <t>VS1-GL/2500A-10T</t>
    <phoneticPr fontId="31" type="noConversion"/>
  </si>
  <si>
    <t>VS1-GL/3150A-10T</t>
    <phoneticPr fontId="31" type="noConversion"/>
  </si>
  <si>
    <t>PT手车</t>
    <phoneticPr fontId="31" type="noConversion"/>
  </si>
  <si>
    <t>VS1-PT/630A-10L</t>
    <phoneticPr fontId="31" type="noConversion"/>
  </si>
  <si>
    <t>PT手车</t>
    <phoneticPr fontId="31" type="noConversion"/>
  </si>
  <si>
    <t>PT+避雷器手车</t>
    <phoneticPr fontId="31" type="noConversion"/>
  </si>
  <si>
    <t>PT+避雷器手车</t>
    <phoneticPr fontId="31" type="noConversion"/>
  </si>
  <si>
    <t>VS1-PT/630A-10T</t>
    <phoneticPr fontId="31" type="noConversion"/>
  </si>
  <si>
    <t>PT手车</t>
    <phoneticPr fontId="31" type="noConversion"/>
  </si>
  <si>
    <t>VS1-PTB/630A-08T</t>
    <phoneticPr fontId="31" type="noConversion"/>
  </si>
  <si>
    <t>VS1-PTB/630A-10T</t>
    <phoneticPr fontId="31" type="noConversion"/>
  </si>
  <si>
    <t>VS1-JL/630A-08L</t>
    <phoneticPr fontId="31" type="noConversion"/>
  </si>
  <si>
    <t>VS1-JL/1250A-10L</t>
    <phoneticPr fontId="31" type="noConversion"/>
  </si>
  <si>
    <t>VS1-JL/630A-08T</t>
    <phoneticPr fontId="31" type="noConversion"/>
  </si>
  <si>
    <t>VS1-JL/1250A-08T</t>
    <phoneticPr fontId="31" type="noConversion"/>
  </si>
  <si>
    <t>VS1-RDQ/630A-08L</t>
    <phoneticPr fontId="31" type="noConversion"/>
  </si>
  <si>
    <t>VS1-RDQ/630A-10L</t>
    <phoneticPr fontId="31" type="noConversion"/>
  </si>
  <si>
    <t>VS1-RDQ/630A-08T</t>
    <phoneticPr fontId="31" type="noConversion"/>
  </si>
  <si>
    <t>VS1-RDQ/630A-10T</t>
    <phoneticPr fontId="31" type="noConversion"/>
  </si>
  <si>
    <t>FZN21-12RD/125-31.5 手动</t>
    <phoneticPr fontId="25" type="noConversion"/>
  </si>
  <si>
    <t>FZN21-12RD/125-31.5 电动</t>
    <phoneticPr fontId="25" type="noConversion"/>
  </si>
  <si>
    <t>FZN25-12/630-20 手动</t>
    <phoneticPr fontId="25" type="noConversion"/>
  </si>
  <si>
    <t>FZN25-12D/630-20 手动</t>
    <phoneticPr fontId="25" type="noConversion"/>
  </si>
  <si>
    <t>FZN25-12RD/160-31.5 手动</t>
    <phoneticPr fontId="25" type="noConversion"/>
  </si>
  <si>
    <t>FZN25-12/630-20 电动</t>
    <phoneticPr fontId="25" type="noConversion"/>
  </si>
  <si>
    <t>FN12-12D/630-20 手动</t>
    <phoneticPr fontId="25" type="noConversion"/>
  </si>
  <si>
    <t>LZZBJ9-10 0.2S</t>
    <phoneticPr fontId="25" type="noConversion"/>
  </si>
  <si>
    <t>浙江泰成</t>
    <phoneticPr fontId="25" type="noConversion"/>
  </si>
  <si>
    <t>LZZBJ9-10 0.2S/10P10</t>
    <phoneticPr fontId="25" type="noConversion"/>
  </si>
  <si>
    <t>浙江泰成</t>
    <phoneticPr fontId="25" type="noConversion"/>
  </si>
  <si>
    <t>JDZ-10 10/0.22 0.5</t>
    <phoneticPr fontId="25" type="noConversion"/>
  </si>
  <si>
    <t>JDZ-10 10/0.1 0.2</t>
    <phoneticPr fontId="25" type="noConversion"/>
  </si>
  <si>
    <t>JDZC-10 10/0.1/0.22 0.5</t>
    <phoneticPr fontId="25" type="noConversion"/>
  </si>
  <si>
    <t>JDZX10-10 10/√3/0.1/√3/0.1/3 0.5/6P</t>
    <phoneticPr fontId="25" type="noConversion"/>
  </si>
  <si>
    <t>HC-600-6</t>
    <phoneticPr fontId="25" type="noConversion"/>
  </si>
  <si>
    <t>上海知棋</t>
    <phoneticPr fontId="31" type="noConversion"/>
  </si>
  <si>
    <t>GKP-155</t>
    <phoneticPr fontId="31" type="noConversion"/>
  </si>
  <si>
    <t>SDWX</t>
    <phoneticPr fontId="25" type="noConversion"/>
  </si>
  <si>
    <t>二次消谐装置</t>
    <phoneticPr fontId="25" type="noConversion"/>
  </si>
  <si>
    <t>江山鑫源</t>
    <phoneticPr fontId="25" type="noConversion"/>
  </si>
  <si>
    <t>江山鑫源</t>
    <phoneticPr fontId="25" type="noConversion"/>
  </si>
  <si>
    <t>109*107 2500A</t>
    <phoneticPr fontId="25" type="noConversion"/>
  </si>
  <si>
    <t>CH3-10Q/208</t>
    <phoneticPr fontId="25" type="noConversion"/>
  </si>
  <si>
    <t>Q75-95</t>
    <phoneticPr fontId="25" type="noConversion"/>
  </si>
  <si>
    <t>Q90-120</t>
    <phoneticPr fontId="25" type="noConversion"/>
  </si>
  <si>
    <t>WSK-G</t>
    <phoneticPr fontId="25" type="noConversion"/>
  </si>
  <si>
    <t>数显电流.电压表</t>
    <phoneticPr fontId="31" type="noConversion"/>
  </si>
  <si>
    <t>数显电流.电压表</t>
    <phoneticPr fontId="31" type="noConversion"/>
  </si>
  <si>
    <t>BV-1.5mm2</t>
    <phoneticPr fontId="25" type="noConversion"/>
  </si>
  <si>
    <t>BV-2.5mm2</t>
    <phoneticPr fontId="25" type="noConversion"/>
  </si>
  <si>
    <t>BV-4mm2</t>
    <phoneticPr fontId="25" type="noConversion"/>
  </si>
  <si>
    <t>BV-6mm2</t>
    <phoneticPr fontId="25" type="noConversion"/>
  </si>
  <si>
    <t>BV-10mm2</t>
    <phoneticPr fontId="25" type="noConversion"/>
  </si>
  <si>
    <t>BV-95mm2</t>
    <phoneticPr fontId="25" type="noConversion"/>
  </si>
  <si>
    <t>BV-120mm2</t>
    <phoneticPr fontId="25" type="noConversion"/>
  </si>
  <si>
    <t>BV-150mm2</t>
    <phoneticPr fontId="25" type="noConversion"/>
  </si>
  <si>
    <t>铜排</t>
    <phoneticPr fontId="25" type="noConversion"/>
  </si>
  <si>
    <t>TMY-15*4</t>
    <phoneticPr fontId="25" type="noConversion"/>
  </si>
  <si>
    <t>TMY-20*5</t>
    <phoneticPr fontId="31" type="noConversion"/>
  </si>
  <si>
    <t>TMY-25*10</t>
    <phoneticPr fontId="25" type="noConversion"/>
  </si>
  <si>
    <t>TMY-40*10</t>
    <phoneticPr fontId="25" type="noConversion"/>
  </si>
  <si>
    <t>TMY-150*10</t>
    <phoneticPr fontId="25" type="noConversion"/>
  </si>
  <si>
    <t>双排</t>
    <phoneticPr fontId="25" type="noConversion"/>
  </si>
  <si>
    <t>TMY-2*60*6</t>
    <phoneticPr fontId="25" type="noConversion"/>
  </si>
  <si>
    <t>TMY-2*60*12</t>
    <phoneticPr fontId="31" type="noConversion"/>
  </si>
  <si>
    <t>TMY-3*120*10</t>
    <phoneticPr fontId="31" type="noConversion"/>
  </si>
  <si>
    <t>TMY-3*125*10</t>
    <phoneticPr fontId="31" type="noConversion"/>
  </si>
  <si>
    <t>铜铝排</t>
    <phoneticPr fontId="25" type="noConversion"/>
  </si>
  <si>
    <t>铝排</t>
    <phoneticPr fontId="25" type="noConversion"/>
  </si>
  <si>
    <t>LMY-40*10</t>
    <phoneticPr fontId="25" type="noConversion"/>
  </si>
  <si>
    <t>S13-M-63KVA 全铜</t>
    <phoneticPr fontId="25" type="noConversion"/>
  </si>
  <si>
    <t>S13-M-80KVA 全铜</t>
    <phoneticPr fontId="25" type="noConversion"/>
  </si>
  <si>
    <t>S13-M-63KVA 全铝</t>
    <phoneticPr fontId="25" type="noConversion"/>
  </si>
  <si>
    <t>S13-M-80KVA 全铝</t>
    <phoneticPr fontId="25" type="noConversion"/>
  </si>
  <si>
    <t>壳体</t>
    <phoneticPr fontId="25" type="noConversion"/>
  </si>
  <si>
    <t>GGD-800*2200*600</t>
    <phoneticPr fontId="25" type="noConversion"/>
  </si>
  <si>
    <t>GGD-1400*600*2000</t>
    <phoneticPr fontId="25" type="noConversion"/>
  </si>
  <si>
    <t>高度200</t>
    <phoneticPr fontId="25" type="noConversion"/>
  </si>
  <si>
    <t>GCS-2.5-800A</t>
    <phoneticPr fontId="25" type="noConversion"/>
  </si>
  <si>
    <t>高度200</t>
    <phoneticPr fontId="25" type="noConversion"/>
  </si>
  <si>
    <t>HXGN-1000*900*2200</t>
    <phoneticPr fontId="31" type="noConversion"/>
  </si>
  <si>
    <t>HXGN-1000*900*2000</t>
    <phoneticPr fontId="31" type="noConversion"/>
  </si>
  <si>
    <t>KYN61-1400*3200*2600</t>
    <phoneticPr fontId="25" type="noConversion"/>
  </si>
  <si>
    <t>TBB10-1000*1500*2300</t>
    <phoneticPr fontId="25" type="noConversion"/>
  </si>
  <si>
    <t>TBB10-1200*1500*2300</t>
    <phoneticPr fontId="25" type="noConversion"/>
  </si>
  <si>
    <t>XGN-1200*1500*2300</t>
    <phoneticPr fontId="25" type="noConversion"/>
  </si>
  <si>
    <t>XGN-400*1000*1885</t>
    <phoneticPr fontId="25" type="noConversion"/>
  </si>
  <si>
    <t>XGN-500*1000*1885</t>
    <phoneticPr fontId="25" type="noConversion"/>
  </si>
  <si>
    <t>XGN-750*1000*1885</t>
    <phoneticPr fontId="25" type="noConversion"/>
  </si>
  <si>
    <t>XGN-800*1000*1885</t>
    <phoneticPr fontId="25" type="noConversion"/>
  </si>
  <si>
    <t>XGN-900*1000*1885</t>
    <phoneticPr fontId="25" type="noConversion"/>
  </si>
  <si>
    <t>XGN-1000*1000*1885</t>
    <phoneticPr fontId="25" type="noConversion"/>
  </si>
  <si>
    <t>SX(SMC),PX(PC+ABS),BX(不锈钢),RX(热镀锌)</t>
    <phoneticPr fontId="25" type="noConversion"/>
  </si>
  <si>
    <t>壳体W*H*D</t>
    <phoneticPr fontId="25" type="noConversion"/>
  </si>
  <si>
    <t xml:space="preserve"> 678*1000*180</t>
    <phoneticPr fontId="25" type="noConversion"/>
  </si>
  <si>
    <t xml:space="preserve"> 758*1000*180</t>
    <phoneticPr fontId="25" type="noConversion"/>
  </si>
  <si>
    <t xml:space="preserve"> 1026*800*180</t>
    <phoneticPr fontId="25" type="noConversion"/>
  </si>
  <si>
    <t xml:space="preserve"> 1188*800*180</t>
    <phoneticPr fontId="25" type="noConversion"/>
  </si>
  <si>
    <t xml:space="preserve"> 780*550*140</t>
    <phoneticPr fontId="25" type="noConversion"/>
  </si>
  <si>
    <t xml:space="preserve"> 810*1000*180</t>
    <phoneticPr fontId="25" type="noConversion"/>
  </si>
  <si>
    <t xml:space="preserve"> 1140*1000*180</t>
    <phoneticPr fontId="25" type="noConversion"/>
  </si>
  <si>
    <t xml:space="preserve"> 1350*1000*180</t>
    <phoneticPr fontId="25" type="noConversion"/>
  </si>
  <si>
    <t>SPCC-δ1.0</t>
    <phoneticPr fontId="25" type="noConversion"/>
  </si>
  <si>
    <t>冷轧钢板  1.0</t>
    <phoneticPr fontId="25" type="noConversion"/>
  </si>
  <si>
    <t>SPCC-δ1.2</t>
    <phoneticPr fontId="25" type="noConversion"/>
  </si>
  <si>
    <t>冷轧钢板  1.2</t>
    <phoneticPr fontId="25" type="noConversion"/>
  </si>
  <si>
    <t>SPCC-δ1.5</t>
    <phoneticPr fontId="31" type="noConversion"/>
  </si>
  <si>
    <t>冷轧钢板  1.5</t>
    <phoneticPr fontId="25" type="noConversion"/>
  </si>
  <si>
    <t>SPCC-δ2.0</t>
    <phoneticPr fontId="31" type="noConversion"/>
  </si>
  <si>
    <t>冷轧钢板  2.0</t>
    <phoneticPr fontId="25" type="noConversion"/>
  </si>
  <si>
    <t>201不锈钢  1.0</t>
    <phoneticPr fontId="25" type="noConversion"/>
  </si>
  <si>
    <t>304不锈钢  1.5</t>
    <phoneticPr fontId="25" type="noConversion"/>
  </si>
  <si>
    <t>PZ72-AI3</t>
    <phoneticPr fontId="31" type="noConversion"/>
  </si>
  <si>
    <t>PZ42-AI3</t>
    <phoneticPr fontId="31" type="noConversion"/>
  </si>
  <si>
    <t>LRD3355C 30-40A</t>
    <phoneticPr fontId="31" type="noConversion"/>
  </si>
  <si>
    <t>LRD3357C 37-50A</t>
    <phoneticPr fontId="31" type="noConversion"/>
  </si>
  <si>
    <t>LRD3361C 55-70A</t>
    <phoneticPr fontId="31" type="noConversion"/>
  </si>
  <si>
    <t>LRD483C 124-198A</t>
    <phoneticPr fontId="31" type="noConversion"/>
  </si>
  <si>
    <t>LRD485C 174-279A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</si>
</sst>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[DBNum2][$-804]General&quot;元&quot;&quot;整&quot;"/>
    <numFmt numFmtId="177" formatCode="0_ "/>
    <numFmt numFmtId="178" formatCode="_ \¥* #,##0.00_ ;_ \¥* \-#,##0.00_ ;_ \¥* &quot;-&quot;??_ ;_ @_ "/>
    <numFmt numFmtId="179" formatCode="yyyy&quot;年&quot;m&quot;月&quot;d&quot;日&quot;;@"/>
    <numFmt numFmtId="180" formatCode="0.000000_);[Red]\(0.000000\)"/>
    <numFmt numFmtId="181" formatCode="0.00_);[Red]\(0.00\)"/>
    <numFmt numFmtId="182" formatCode="#,##0.00_);[Red]\(#,##0.00\)"/>
    <numFmt numFmtId="183" formatCode="0.00;[Red]0.00"/>
    <numFmt numFmtId="184" formatCode="0.000000;[Red]0.000000"/>
    <numFmt numFmtId="185" formatCode="0.00_ "/>
    <numFmt numFmtId="186" formatCode="0.0;[Red]0.0"/>
    <numFmt numFmtId="187" formatCode="[$-F800]dddd\,\ mmmm\ dd\,\ yyyy"/>
    <numFmt numFmtId="188" formatCode="0.000000_ "/>
    <numFmt numFmtId="189" formatCode="0.000000_ ;[Red]\-0.000000\ "/>
  </numFmts>
  <fonts count="34" x14ac:knownFonts="1">
    <font>
      <sz val="11"/>
      <color theme="1"/>
      <name val="等线"/>
      <charset val="134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8"/>
      <color theme="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8"/>
      <name val="宋体"/>
      <family val="3"/>
      <charset val="134"/>
    </font>
    <font>
      <b/>
      <sz val="10"/>
      <color theme="0" tint="-4.9989318521683403E-2"/>
      <name val="宋体"/>
      <family val="3"/>
      <charset val="134"/>
    </font>
    <font>
      <sz val="10"/>
      <color theme="2"/>
      <name val="宋体"/>
      <family val="3"/>
      <charset val="134"/>
    </font>
    <font>
      <b/>
      <sz val="10"/>
      <color theme="4" tint="0.59999389629810485"/>
      <name val="宋体"/>
      <family val="3"/>
      <charset val="134"/>
    </font>
    <font>
      <b/>
      <sz val="10"/>
      <color indexed="22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8"/>
      <color indexed="8"/>
      <name val="Times New Roman"/>
      <family val="1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9"/>
      <name val="Times New Roman"/>
      <family val="1"/>
    </font>
    <font>
      <sz val="8"/>
      <color theme="0" tint="-4.9989318521683403E-2"/>
      <name val="宋体"/>
      <family val="3"/>
      <charset val="134"/>
    </font>
    <font>
      <sz val="10"/>
      <color theme="0" tint="-4.9989318521683403E-2"/>
      <name val="宋体"/>
      <family val="3"/>
      <charset val="134"/>
    </font>
    <font>
      <b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8"/>
      <color theme="1"/>
      <name val="宋体"/>
      <family val="3"/>
      <charset val="134"/>
    </font>
    <font>
      <b/>
      <sz val="12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8">
    <xf numFmtId="0" fontId="0" fillId="0" borderId="0"/>
    <xf numFmtId="0" fontId="20" fillId="0" borderId="0" applyProtection="0"/>
    <xf numFmtId="0" fontId="2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4" fillId="0" borderId="0" applyProtection="0"/>
    <xf numFmtId="0" fontId="20" fillId="0" borderId="0" applyProtection="0"/>
    <xf numFmtId="0" fontId="20" fillId="0" borderId="0" applyProtection="0"/>
    <xf numFmtId="0" fontId="23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178" fontId="23" fillId="0" borderId="0" applyProtection="0">
      <alignment vertical="center"/>
    </xf>
    <xf numFmtId="0" fontId="2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 applyProtection="0"/>
  </cellStyleXfs>
  <cellXfs count="5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7" xfId="6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left" vertical="center" shrinkToFit="1"/>
    </xf>
    <xf numFmtId="0" fontId="2" fillId="0" borderId="8" xfId="0" applyNumberFormat="1" applyFont="1" applyFill="1" applyBorder="1" applyAlignment="1">
      <alignment horizontal="center" vertical="center" shrinkToFit="1"/>
    </xf>
    <xf numFmtId="0" fontId="5" fillId="0" borderId="8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180" fontId="2" fillId="0" borderId="8" xfId="0" applyNumberFormat="1" applyFont="1" applyFill="1" applyBorder="1" applyAlignment="1">
      <alignment horizontal="right" vertical="center" shrinkToFi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80" fontId="5" fillId="0" borderId="8" xfId="5" applyNumberFormat="1" applyFont="1" applyFill="1" applyBorder="1" applyAlignment="1">
      <alignment horizontal="right" vertical="center" shrinkToFit="1"/>
    </xf>
    <xf numFmtId="4" fontId="2" fillId="0" borderId="8" xfId="0" applyNumberFormat="1" applyFont="1" applyFill="1" applyBorder="1" applyAlignment="1">
      <alignment horizontal="right" vertical="center" shrinkToFit="1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2" fillId="0" borderId="0" xfId="0" applyNumberFormat="1" applyFont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83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 wrapText="1" shrinkToFit="1"/>
    </xf>
    <xf numFmtId="0" fontId="2" fillId="0" borderId="0" xfId="0" applyFont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6" fillId="3" borderId="8" xfId="8" applyNumberFormat="1" applyFont="1" applyFill="1" applyBorder="1" applyAlignment="1" applyProtection="1">
      <alignment horizontal="center" vertical="center"/>
    </xf>
    <xf numFmtId="0" fontId="10" fillId="3" borderId="8" xfId="10" applyNumberFormat="1" applyFont="1" applyFill="1" applyBorder="1" applyAlignment="1" applyProtection="1">
      <alignment horizontal="left" vertical="center" shrinkToFit="1"/>
    </xf>
    <xf numFmtId="0" fontId="6" fillId="3" borderId="8" xfId="10" applyNumberFormat="1" applyFont="1" applyFill="1" applyBorder="1" applyAlignment="1" applyProtection="1">
      <alignment horizontal="center" vertical="center" shrinkToFit="1"/>
    </xf>
    <xf numFmtId="0" fontId="10" fillId="3" borderId="8" xfId="0" applyNumberFormat="1" applyFont="1" applyFill="1" applyBorder="1" applyAlignment="1" applyProtection="1">
      <alignment horizontal="center" vertical="center"/>
    </xf>
    <xf numFmtId="183" fontId="10" fillId="3" borderId="8" xfId="10" applyNumberFormat="1" applyFont="1" applyFill="1" applyBorder="1" applyAlignment="1" applyProtection="1">
      <alignment horizontal="right" vertical="center" shrinkToFit="1"/>
    </xf>
    <xf numFmtId="183" fontId="10" fillId="3" borderId="8" xfId="0" applyNumberFormat="1" applyFont="1" applyFill="1" applyBorder="1" applyAlignment="1">
      <alignment horizontal="center" vertical="center"/>
    </xf>
    <xf numFmtId="0" fontId="13" fillId="4" borderId="8" xfId="8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vertical="center"/>
    </xf>
    <xf numFmtId="49" fontId="2" fillId="0" borderId="8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83" fontId="5" fillId="0" borderId="8" xfId="4" applyNumberFormat="1" applyFont="1" applyFill="1" applyBorder="1" applyAlignment="1" applyProtection="1">
      <alignment horizontal="right" vertical="center" shrinkToFit="1"/>
    </xf>
    <xf numFmtId="49" fontId="2" fillId="0" borderId="8" xfId="0" applyNumberFormat="1" applyFont="1" applyFill="1" applyBorder="1" applyAlignment="1" applyProtection="1">
      <alignment vertical="center"/>
    </xf>
    <xf numFmtId="0" fontId="2" fillId="0" borderId="8" xfId="0" applyNumberFormat="1" applyFont="1" applyFill="1" applyBorder="1" applyAlignment="1" applyProtection="1">
      <alignment horizontal="right" vertical="center"/>
    </xf>
    <xf numFmtId="0" fontId="2" fillId="0" borderId="10" xfId="0" applyNumberFormat="1" applyFont="1" applyFill="1" applyBorder="1" applyAlignment="1" applyProtection="1">
      <alignment horizontal="right" vertical="center"/>
    </xf>
    <xf numFmtId="183" fontId="2" fillId="0" borderId="8" xfId="0" applyNumberFormat="1" applyFont="1" applyFill="1" applyBorder="1" applyAlignment="1" applyProtection="1">
      <alignment vertical="center"/>
    </xf>
    <xf numFmtId="0" fontId="10" fillId="3" borderId="8" xfId="10" applyNumberFormat="1" applyFont="1" applyFill="1" applyBorder="1" applyAlignment="1" applyProtection="1">
      <alignment horizontal="center" vertical="center" shrinkToFit="1"/>
    </xf>
    <xf numFmtId="0" fontId="15" fillId="3" borderId="8" xfId="10" applyNumberFormat="1" applyFont="1" applyFill="1" applyBorder="1" applyAlignment="1" applyProtection="1">
      <alignment horizontal="center" vertical="center" shrinkToFit="1"/>
    </xf>
    <xf numFmtId="183" fontId="10" fillId="3" borderId="8" xfId="10" applyNumberFormat="1" applyFont="1" applyFill="1" applyBorder="1" applyAlignment="1" applyProtection="1">
      <alignment horizontal="center" vertical="center" shrinkToFit="1"/>
    </xf>
    <xf numFmtId="183" fontId="10" fillId="3" borderId="8" xfId="10" applyNumberFormat="1" applyFont="1" applyFill="1" applyBorder="1" applyAlignment="1" applyProtection="1"/>
    <xf numFmtId="183" fontId="16" fillId="5" borderId="8" xfId="1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 shrinkToFit="1"/>
    </xf>
    <xf numFmtId="0" fontId="2" fillId="3" borderId="8" xfId="0" applyNumberFormat="1" applyFont="1" applyFill="1" applyBorder="1" applyAlignment="1" applyProtection="1">
      <alignment horizontal="center" vertical="center" shrinkToFit="1"/>
    </xf>
    <xf numFmtId="183" fontId="2" fillId="3" borderId="8" xfId="0" applyNumberFormat="1" applyFont="1" applyFill="1" applyBorder="1" applyAlignment="1" applyProtection="1">
      <alignment horizontal="right" vertical="center" shrinkToFit="1"/>
    </xf>
    <xf numFmtId="183" fontId="2" fillId="3" borderId="8" xfId="0" applyNumberFormat="1" applyFont="1" applyFill="1" applyBorder="1" applyAlignment="1" applyProtection="1">
      <alignment horizontal="center" vertical="center" shrinkToFit="1"/>
    </xf>
    <xf numFmtId="183" fontId="2" fillId="5" borderId="8" xfId="0" applyNumberFormat="1" applyFont="1" applyFill="1" applyBorder="1" applyAlignment="1" applyProtection="1">
      <alignment horizontal="right" vertical="center" shrinkToFit="1"/>
    </xf>
    <xf numFmtId="0" fontId="17" fillId="0" borderId="0" xfId="0" applyNumberFormat="1" applyFont="1" applyAlignment="1" applyProtection="1">
      <alignment vertical="center"/>
    </xf>
    <xf numFmtId="4" fontId="2" fillId="0" borderId="8" xfId="0" applyNumberFormat="1" applyFont="1" applyFill="1" applyBorder="1" applyAlignment="1" applyProtection="1">
      <alignment horizontal="left" vertical="center" shrinkToFit="1"/>
    </xf>
    <xf numFmtId="0" fontId="4" fillId="0" borderId="0" xfId="0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49" fontId="10" fillId="3" borderId="8" xfId="0" applyNumberFormat="1" applyFont="1" applyFill="1" applyBorder="1" applyAlignment="1" applyProtection="1">
      <alignment vertical="center"/>
    </xf>
    <xf numFmtId="0" fontId="10" fillId="0" borderId="0" xfId="0" applyNumberFormat="1" applyFont="1" applyAlignment="1" applyProtection="1">
      <alignment horizontal="left" vertical="center"/>
    </xf>
    <xf numFmtId="0" fontId="10" fillId="3" borderId="8" xfId="0" applyNumberFormat="1" applyFont="1" applyFill="1" applyBorder="1" applyAlignment="1" applyProtection="1">
      <alignment vertical="center"/>
    </xf>
    <xf numFmtId="49" fontId="2" fillId="0" borderId="8" xfId="7" applyNumberFormat="1" applyFont="1" applyFill="1" applyBorder="1" applyAlignment="1" applyProtection="1">
      <alignment horizontal="left" vertical="center"/>
    </xf>
    <xf numFmtId="0" fontId="2" fillId="0" borderId="8" xfId="7" applyNumberFormat="1" applyFont="1" applyFill="1" applyBorder="1" applyAlignment="1" applyProtection="1">
      <alignment horizontal="center" vertical="center"/>
    </xf>
    <xf numFmtId="0" fontId="13" fillId="0" borderId="8" xfId="8" applyNumberFormat="1" applyFont="1" applyFill="1" applyBorder="1" applyAlignment="1" applyProtection="1">
      <alignment horizontal="center" vertical="center"/>
    </xf>
    <xf numFmtId="0" fontId="18" fillId="4" borderId="8" xfId="8" applyNumberFormat="1" applyFont="1" applyFill="1" applyBorder="1" applyAlignment="1" applyProtection="1">
      <alignment horizontal="center" vertical="center"/>
    </xf>
    <xf numFmtId="0" fontId="2" fillId="0" borderId="10" xfId="7" applyNumberFormat="1" applyFont="1" applyFill="1" applyBorder="1" applyAlignment="1" applyProtection="1">
      <alignment vertical="center"/>
    </xf>
    <xf numFmtId="4" fontId="2" fillId="3" borderId="8" xfId="0" applyNumberFormat="1" applyFont="1" applyFill="1" applyBorder="1" applyAlignment="1" applyProtection="1">
      <alignment horizontal="right" vertical="center" shrinkToFit="1"/>
    </xf>
    <xf numFmtId="4" fontId="2" fillId="3" borderId="8" xfId="0" applyNumberFormat="1" applyFont="1" applyFill="1" applyBorder="1" applyAlignment="1" applyProtection="1">
      <alignment horizontal="center" vertical="center" shrinkToFit="1"/>
    </xf>
    <xf numFmtId="4" fontId="2" fillId="5" borderId="8" xfId="7" applyNumberFormat="1" applyFont="1" applyFill="1" applyBorder="1" applyAlignment="1" applyProtection="1">
      <alignment horizontal="right" vertical="center" shrinkToFit="1"/>
    </xf>
    <xf numFmtId="0" fontId="2" fillId="0" borderId="8" xfId="7" applyNumberFormat="1" applyFont="1" applyFill="1" applyBorder="1" applyAlignment="1" applyProtection="1">
      <alignment horizontal="center" vertical="center" shrinkToFit="1"/>
    </xf>
    <xf numFmtId="4" fontId="2" fillId="3" borderId="8" xfId="7" applyNumberFormat="1" applyFont="1" applyFill="1" applyBorder="1" applyAlignment="1" applyProtection="1">
      <alignment horizontal="right" vertical="center" shrinkToFit="1"/>
    </xf>
    <xf numFmtId="183" fontId="2" fillId="6" borderId="8" xfId="0" applyNumberFormat="1" applyFont="1" applyFill="1" applyBorder="1" applyAlignment="1" applyProtection="1">
      <alignment horizontal="center" vertical="center" shrinkToFit="1"/>
    </xf>
    <xf numFmtId="183" fontId="2" fillId="6" borderId="8" xfId="0" applyNumberFormat="1" applyFont="1" applyFill="1" applyBorder="1" applyAlignment="1" applyProtection="1">
      <alignment horizontal="right" vertical="center" shrinkToFit="1"/>
    </xf>
    <xf numFmtId="183" fontId="2" fillId="0" borderId="8" xfId="0" applyNumberFormat="1" applyFont="1" applyFill="1" applyBorder="1" applyAlignment="1" applyProtection="1">
      <alignment horizontal="right" vertical="center" shrinkToFit="1"/>
    </xf>
    <xf numFmtId="183" fontId="2" fillId="0" borderId="8" xfId="0" applyNumberFormat="1" applyFont="1" applyFill="1" applyBorder="1" applyAlignment="1" applyProtection="1">
      <alignment horizontal="center" vertical="center" shrinkToFit="1"/>
    </xf>
    <xf numFmtId="0" fontId="2" fillId="0" borderId="8" xfId="0" applyNumberFormat="1" applyFont="1" applyFill="1" applyBorder="1" applyAlignment="1" applyProtection="1">
      <alignment vertical="center"/>
    </xf>
    <xf numFmtId="183" fontId="16" fillId="0" borderId="0" xfId="10" applyNumberFormat="1" applyFont="1" applyFill="1" applyBorder="1" applyAlignment="1" applyProtection="1">
      <alignment horizontal="center" vertical="center"/>
    </xf>
    <xf numFmtId="183" fontId="2" fillId="0" borderId="0" xfId="0" applyNumberFormat="1" applyFont="1" applyFill="1" applyBorder="1" applyAlignment="1" applyProtection="1">
      <alignment horizontal="right" vertical="center" shrinkToFit="1"/>
    </xf>
    <xf numFmtId="183" fontId="2" fillId="3" borderId="8" xfId="7" applyNumberFormat="1" applyFont="1" applyFill="1" applyBorder="1" applyAlignment="1" applyProtection="1">
      <alignment horizontal="right" vertical="center" shrinkToFit="1"/>
    </xf>
    <xf numFmtId="183" fontId="2" fillId="3" borderId="8" xfId="7" applyNumberFormat="1" applyFont="1" applyFill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184" fontId="3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vertical="center" wrapText="1" shrinkToFit="1"/>
    </xf>
    <xf numFmtId="183" fontId="3" fillId="0" borderId="0" xfId="0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6" fillId="7" borderId="8" xfId="6" applyNumberFormat="1" applyFont="1" applyFill="1" applyBorder="1" applyAlignment="1" applyProtection="1">
      <alignment horizontal="center" vertical="center" shrinkToFit="1"/>
    </xf>
    <xf numFmtId="0" fontId="6" fillId="7" borderId="11" xfId="6" applyNumberFormat="1" applyFont="1" applyFill="1" applyBorder="1" applyAlignment="1" applyProtection="1">
      <alignment horizontal="center" vertical="center" shrinkToFit="1"/>
    </xf>
    <xf numFmtId="0" fontId="6" fillId="7" borderId="8" xfId="6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" fillId="3" borderId="8" xfId="0" applyNumberFormat="1" applyFont="1" applyFill="1" applyBorder="1" applyAlignment="1" applyProtection="1">
      <alignment horizontal="center" vertical="center"/>
    </xf>
    <xf numFmtId="0" fontId="6" fillId="3" borderId="11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180" fontId="10" fillId="0" borderId="0" xfId="0" applyNumberFormat="1" applyFont="1" applyFill="1" applyBorder="1" applyAlignment="1" applyProtection="1">
      <alignment horizontal="center" vertical="center"/>
    </xf>
    <xf numFmtId="184" fontId="10" fillId="0" borderId="0" xfId="0" applyNumberFormat="1" applyFont="1" applyFill="1" applyBorder="1" applyAlignment="1" applyProtection="1">
      <alignment horizontal="center" vertical="center"/>
    </xf>
    <xf numFmtId="183" fontId="10" fillId="0" borderId="0" xfId="1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shrinkToFit="1"/>
    </xf>
    <xf numFmtId="183" fontId="2" fillId="0" borderId="0" xfId="0" applyNumberFormat="1" applyFont="1" applyFill="1" applyBorder="1" applyAlignment="1" applyProtection="1">
      <alignment horizontal="center" vertical="center" shrinkToFit="1"/>
    </xf>
    <xf numFmtId="180" fontId="6" fillId="7" borderId="8" xfId="6" applyNumberFormat="1" applyFont="1" applyFill="1" applyBorder="1" applyAlignment="1" applyProtection="1">
      <alignment horizontal="center" vertical="center"/>
    </xf>
    <xf numFmtId="180" fontId="6" fillId="7" borderId="8" xfId="6" applyNumberFormat="1" applyFont="1" applyFill="1" applyBorder="1" applyAlignment="1" applyProtection="1">
      <alignment horizontal="center" vertical="center" shrinkToFit="1"/>
    </xf>
    <xf numFmtId="49" fontId="6" fillId="7" borderId="8" xfId="6" applyNumberFormat="1" applyFont="1" applyFill="1" applyBorder="1" applyAlignment="1" applyProtection="1">
      <alignment horizontal="center" vertical="center" wrapText="1" shrinkToFit="1"/>
    </xf>
    <xf numFmtId="0" fontId="10" fillId="2" borderId="14" xfId="6" applyNumberFormat="1" applyFont="1" applyFill="1" applyBorder="1" applyAlignment="1" applyProtection="1">
      <alignment horizontal="center" vertical="center" shrinkToFit="1"/>
    </xf>
    <xf numFmtId="183" fontId="10" fillId="2" borderId="14" xfId="6" applyNumberFormat="1" applyFont="1" applyFill="1" applyBorder="1" applyAlignment="1" applyProtection="1">
      <alignment horizontal="center" vertical="center" shrinkToFit="1"/>
    </xf>
    <xf numFmtId="180" fontId="6" fillId="3" borderId="8" xfId="10" applyNumberFormat="1" applyFont="1" applyFill="1" applyBorder="1" applyAlignment="1" applyProtection="1">
      <alignment horizontal="center" vertical="center"/>
    </xf>
    <xf numFmtId="180" fontId="6" fillId="3" borderId="11" xfId="0" applyNumberFormat="1" applyFont="1" applyFill="1" applyBorder="1" applyAlignment="1">
      <alignment horizontal="center" vertical="center"/>
    </xf>
    <xf numFmtId="180" fontId="5" fillId="0" borderId="8" xfId="4" applyNumberFormat="1" applyFont="1" applyFill="1" applyBorder="1" applyAlignment="1" applyProtection="1">
      <alignment horizontal="center" vertical="center" shrinkToFit="1"/>
    </xf>
    <xf numFmtId="180" fontId="5" fillId="0" borderId="8" xfId="4" applyNumberFormat="1" applyFont="1" applyFill="1" applyBorder="1" applyAlignment="1" applyProtection="1">
      <alignment horizontal="center" vertical="center"/>
    </xf>
    <xf numFmtId="185" fontId="2" fillId="3" borderId="8" xfId="0" applyNumberFormat="1" applyFont="1" applyFill="1" applyBorder="1" applyAlignment="1" applyProtection="1">
      <alignment horizontal="right" vertical="center" shrinkToFit="1"/>
    </xf>
    <xf numFmtId="180" fontId="2" fillId="0" borderId="8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left" vertical="center" shrinkToFit="1"/>
    </xf>
    <xf numFmtId="4" fontId="2" fillId="0" borderId="8" xfId="0" applyNumberFormat="1" applyFont="1" applyFill="1" applyBorder="1" applyAlignment="1" applyProtection="1">
      <alignment horizontal="right" vertical="center" shrinkToFit="1"/>
    </xf>
    <xf numFmtId="181" fontId="5" fillId="0" borderId="8" xfId="5" applyNumberFormat="1" applyFont="1" applyFill="1" applyBorder="1" applyAlignment="1" applyProtection="1">
      <alignment horizontal="right" vertical="center" shrinkToFit="1"/>
    </xf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/>
    </xf>
    <xf numFmtId="0" fontId="5" fillId="0" borderId="0" xfId="0" applyFont="1" applyProtection="1"/>
    <xf numFmtId="0" fontId="1" fillId="0" borderId="0" xfId="0" applyFont="1" applyProtection="1"/>
    <xf numFmtId="0" fontId="9" fillId="0" borderId="0" xfId="0" applyFont="1" applyFill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5" fillId="0" borderId="0" xfId="0" applyNumberFormat="1" applyFont="1" applyAlignment="1" applyProtection="1">
      <alignment horizontal="left" vertical="center"/>
    </xf>
    <xf numFmtId="0" fontId="12" fillId="0" borderId="0" xfId="0" applyNumberFormat="1" applyFont="1" applyAlignment="1" applyProtection="1">
      <alignment vertical="center"/>
    </xf>
    <xf numFmtId="0" fontId="5" fillId="0" borderId="0" xfId="0" applyNumberFormat="1" applyFont="1" applyAlignment="1" applyProtection="1">
      <alignment vertical="center"/>
    </xf>
    <xf numFmtId="0" fontId="6" fillId="0" borderId="0" xfId="0" applyNumberFormat="1" applyFont="1" applyAlignment="1" applyProtection="1">
      <alignment horizontal="left"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 applyProtection="1">
      <alignment horizontal="left" vertical="center"/>
    </xf>
    <xf numFmtId="0" fontId="6" fillId="3" borderId="14" xfId="8" applyNumberFormat="1" applyFont="1" applyFill="1" applyBorder="1" applyAlignment="1" applyProtection="1">
      <alignment horizontal="center" vertical="center"/>
    </xf>
    <xf numFmtId="0" fontId="10" fillId="3" borderId="14" xfId="10" applyNumberFormat="1" applyFont="1" applyFill="1" applyBorder="1" applyAlignment="1" applyProtection="1">
      <alignment horizontal="left" vertical="center" shrinkToFit="1"/>
    </xf>
    <xf numFmtId="0" fontId="6" fillId="3" borderId="14" xfId="10" applyNumberFormat="1" applyFont="1" applyFill="1" applyBorder="1" applyAlignment="1" applyProtection="1">
      <alignment horizontal="center" vertical="center" shrinkToFit="1"/>
    </xf>
    <xf numFmtId="183" fontId="10" fillId="3" borderId="14" xfId="10" applyNumberFormat="1" applyFont="1" applyFill="1" applyBorder="1" applyAlignment="1" applyProtection="1">
      <alignment horizontal="right" vertical="center" shrinkToFit="1"/>
    </xf>
    <xf numFmtId="0" fontId="10" fillId="3" borderId="14" xfId="10" applyNumberFormat="1" applyFont="1" applyFill="1" applyBorder="1" applyAlignment="1" applyProtection="1">
      <alignment horizontal="center" vertical="center" shrinkToFit="1"/>
    </xf>
    <xf numFmtId="0" fontId="15" fillId="3" borderId="14" xfId="10" applyNumberFormat="1" applyFont="1" applyFill="1" applyBorder="1" applyAlignment="1" applyProtection="1">
      <alignment horizontal="center" vertical="center" shrinkToFit="1"/>
    </xf>
    <xf numFmtId="183" fontId="10" fillId="3" borderId="14" xfId="10" applyNumberFormat="1" applyFont="1" applyFill="1" applyBorder="1" applyAlignment="1" applyProtection="1">
      <alignment horizontal="center" vertical="center" shrinkToFit="1"/>
    </xf>
    <xf numFmtId="183" fontId="10" fillId="3" borderId="14" xfId="1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11" xfId="7" applyNumberFormat="1" applyFont="1" applyFill="1" applyBorder="1" applyAlignment="1" applyProtection="1">
      <alignment horizontal="center" vertical="center"/>
    </xf>
    <xf numFmtId="183" fontId="6" fillId="5" borderId="14" xfId="10" applyNumberFormat="1" applyFont="1" applyFill="1" applyBorder="1" applyAlignment="1" applyProtection="1">
      <alignment horizontal="left" vertical="center"/>
    </xf>
    <xf numFmtId="0" fontId="2" fillId="0" borderId="0" xfId="17" applyFont="1" applyAlignment="1" applyProtection="1">
      <alignment vertical="center"/>
    </xf>
    <xf numFmtId="49" fontId="10" fillId="3" borderId="8" xfId="17" applyNumberFormat="1" applyFont="1" applyFill="1" applyBorder="1" applyAlignment="1" applyProtection="1">
      <alignment vertical="center"/>
    </xf>
    <xf numFmtId="0" fontId="10" fillId="3" borderId="8" xfId="17" applyNumberFormat="1" applyFont="1" applyFill="1" applyBorder="1" applyAlignment="1" applyProtection="1">
      <alignment horizontal="center" vertical="center"/>
    </xf>
    <xf numFmtId="183" fontId="10" fillId="3" borderId="8" xfId="17" applyNumberFormat="1" applyFont="1" applyFill="1" applyBorder="1" applyAlignment="1">
      <alignment horizontal="center" vertical="center"/>
    </xf>
    <xf numFmtId="0" fontId="2" fillId="0" borderId="0" xfId="17" applyNumberFormat="1" applyFont="1" applyAlignment="1" applyProtection="1">
      <alignment horizontal="left" vertical="center"/>
    </xf>
    <xf numFmtId="0" fontId="2" fillId="0" borderId="0" xfId="17" applyNumberFormat="1" applyFont="1" applyAlignment="1" applyProtection="1">
      <alignment vertical="center"/>
    </xf>
    <xf numFmtId="0" fontId="2" fillId="0" borderId="10" xfId="17" applyNumberFormat="1" applyFont="1" applyFill="1" applyBorder="1" applyAlignment="1" applyProtection="1">
      <alignment vertical="center"/>
    </xf>
    <xf numFmtId="49" fontId="2" fillId="0" borderId="8" xfId="17" applyNumberFormat="1" applyFont="1" applyFill="1" applyBorder="1" applyAlignment="1" applyProtection="1">
      <alignment vertical="center"/>
    </xf>
    <xf numFmtId="0" fontId="2" fillId="0" borderId="11" xfId="17" applyNumberFormat="1" applyFont="1" applyFill="1" applyBorder="1" applyAlignment="1" applyProtection="1">
      <alignment horizontal="center" vertical="center"/>
    </xf>
    <xf numFmtId="0" fontId="2" fillId="0" borderId="8" xfId="17" applyNumberFormat="1" applyFont="1" applyFill="1" applyBorder="1" applyAlignment="1" applyProtection="1">
      <alignment horizontal="center" vertical="center"/>
    </xf>
    <xf numFmtId="0" fontId="2" fillId="0" borderId="8" xfId="17" applyNumberFormat="1" applyFont="1" applyFill="1" applyBorder="1" applyAlignment="1" applyProtection="1">
      <alignment horizontal="center" vertical="center" shrinkToFit="1"/>
    </xf>
    <xf numFmtId="0" fontId="2" fillId="3" borderId="8" xfId="17" applyNumberFormat="1" applyFont="1" applyFill="1" applyBorder="1" applyAlignment="1" applyProtection="1">
      <alignment horizontal="center" vertical="center" shrinkToFit="1"/>
    </xf>
    <xf numFmtId="183" fontId="2" fillId="3" borderId="8" xfId="17" applyNumberFormat="1" applyFont="1" applyFill="1" applyBorder="1" applyAlignment="1" applyProtection="1">
      <alignment horizontal="right" vertical="center" shrinkToFit="1"/>
    </xf>
    <xf numFmtId="183" fontId="2" fillId="3" borderId="8" xfId="17" applyNumberFormat="1" applyFont="1" applyFill="1" applyBorder="1" applyAlignment="1" applyProtection="1">
      <alignment horizontal="center" vertical="center" shrinkToFit="1"/>
    </xf>
    <xf numFmtId="183" fontId="2" fillId="5" borderId="8" xfId="17" applyNumberFormat="1" applyFont="1" applyFill="1" applyBorder="1" applyAlignment="1" applyProtection="1">
      <alignment horizontal="right" vertical="center" shrinkToFit="1"/>
    </xf>
    <xf numFmtId="0" fontId="17" fillId="0" borderId="0" xfId="17" applyNumberFormat="1" applyFont="1" applyAlignment="1" applyProtection="1">
      <alignment vertical="center"/>
    </xf>
    <xf numFmtId="0" fontId="3" fillId="0" borderId="0" xfId="17" applyNumberFormat="1" applyFont="1" applyAlignment="1" applyProtection="1">
      <alignment vertical="center"/>
    </xf>
    <xf numFmtId="0" fontId="4" fillId="0" borderId="0" xfId="17" applyFont="1" applyAlignment="1" applyProtection="1">
      <alignment vertical="center"/>
    </xf>
    <xf numFmtId="0" fontId="3" fillId="0" borderId="0" xfId="17" applyFont="1" applyAlignment="1" applyProtection="1">
      <alignment vertical="center"/>
    </xf>
    <xf numFmtId="0" fontId="9" fillId="0" borderId="0" xfId="17" applyFont="1" applyAlignment="1" applyProtection="1">
      <alignment vertical="center"/>
    </xf>
    <xf numFmtId="0" fontId="2" fillId="0" borderId="8" xfId="17" applyNumberFormat="1" applyFont="1" applyFill="1" applyBorder="1" applyAlignment="1" applyProtection="1">
      <alignment horizontal="right" vertical="center"/>
    </xf>
    <xf numFmtId="4" fontId="2" fillId="0" borderId="8" xfId="17" applyNumberFormat="1" applyFont="1" applyFill="1" applyBorder="1" applyAlignment="1" applyProtection="1">
      <alignment horizontal="left" vertical="center" shrinkToFit="1"/>
    </xf>
    <xf numFmtId="0" fontId="2" fillId="0" borderId="10" xfId="17" applyNumberFormat="1" applyFont="1" applyFill="1" applyBorder="1" applyAlignment="1" applyProtection="1">
      <alignment horizontal="right" vertical="center"/>
    </xf>
    <xf numFmtId="49" fontId="4" fillId="0" borderId="0" xfId="17" applyNumberFormat="1" applyFont="1" applyAlignment="1" applyProtection="1">
      <alignment vertical="center"/>
    </xf>
    <xf numFmtId="0" fontId="10" fillId="0" borderId="0" xfId="17" applyNumberFormat="1" applyFont="1" applyAlignment="1" applyProtection="1">
      <alignment horizontal="left" vertical="center"/>
    </xf>
    <xf numFmtId="0" fontId="4" fillId="0" borderId="0" xfId="17" applyNumberFormat="1" applyFont="1" applyAlignment="1" applyProtection="1">
      <alignment vertical="center"/>
    </xf>
    <xf numFmtId="0" fontId="2" fillId="0" borderId="0" xfId="17" applyNumberFormat="1" applyFont="1" applyAlignment="1" applyProtection="1">
      <alignment horizontal="center" vertical="center"/>
    </xf>
    <xf numFmtId="183" fontId="2" fillId="0" borderId="8" xfId="17" applyNumberFormat="1" applyFont="1" applyFill="1" applyBorder="1" applyAlignment="1" applyProtection="1">
      <alignment vertical="center"/>
    </xf>
    <xf numFmtId="0" fontId="2" fillId="0" borderId="8" xfId="17" applyNumberFormat="1" applyFont="1" applyFill="1" applyBorder="1" applyAlignment="1" applyProtection="1">
      <alignment vertical="center"/>
    </xf>
    <xf numFmtId="0" fontId="2" fillId="0" borderId="0" xfId="17" applyNumberFormat="1" applyFont="1" applyBorder="1" applyAlignment="1" applyProtection="1">
      <alignment horizontal="center" vertical="center"/>
    </xf>
    <xf numFmtId="0" fontId="2" fillId="0" borderId="0" xfId="17" applyNumberFormat="1" applyFont="1" applyBorder="1" applyAlignment="1" applyProtection="1">
      <alignment horizontal="left" vertical="center"/>
    </xf>
    <xf numFmtId="0" fontId="2" fillId="0" borderId="0" xfId="17" applyNumberFormat="1" applyFont="1" applyBorder="1" applyAlignment="1" applyProtection="1">
      <alignment vertical="center"/>
    </xf>
    <xf numFmtId="0" fontId="2" fillId="0" borderId="0" xfId="17" applyNumberFormat="1" applyFont="1" applyFill="1" applyBorder="1" applyAlignment="1" applyProtection="1">
      <alignment vertical="center"/>
    </xf>
    <xf numFmtId="0" fontId="2" fillId="0" borderId="0" xfId="17" applyNumberFormat="1" applyFont="1" applyFill="1" applyBorder="1" applyAlignment="1" applyProtection="1">
      <alignment horizontal="left" vertical="center"/>
    </xf>
    <xf numFmtId="49" fontId="2" fillId="0" borderId="0" xfId="17" applyNumberFormat="1" applyFont="1" applyFill="1" applyBorder="1" applyAlignment="1" applyProtection="1">
      <alignment vertical="center"/>
    </xf>
    <xf numFmtId="0" fontId="2" fillId="0" borderId="0" xfId="17" applyNumberFormat="1" applyFont="1" applyFill="1" applyBorder="1" applyAlignment="1" applyProtection="1">
      <alignment horizontal="center" vertical="center"/>
    </xf>
    <xf numFmtId="183" fontId="2" fillId="0" borderId="0" xfId="17" applyNumberFormat="1" applyFont="1" applyFill="1" applyBorder="1" applyAlignment="1" applyProtection="1">
      <alignment vertical="center"/>
    </xf>
    <xf numFmtId="49" fontId="2" fillId="0" borderId="0" xfId="17" applyNumberFormat="1" applyFont="1" applyFill="1" applyBorder="1" applyAlignment="1" applyProtection="1">
      <alignment vertical="center" wrapText="1" shrinkToFit="1"/>
    </xf>
    <xf numFmtId="49" fontId="2" fillId="0" borderId="8" xfId="5" applyNumberFormat="1" applyFont="1" applyFill="1" applyBorder="1" applyAlignment="1" applyProtection="1">
      <alignment vertical="center"/>
    </xf>
    <xf numFmtId="0" fontId="2" fillId="0" borderId="8" xfId="5" applyNumberFormat="1" applyFont="1" applyFill="1" applyBorder="1" applyAlignment="1" applyProtection="1">
      <alignment horizontal="center" vertical="center"/>
    </xf>
    <xf numFmtId="0" fontId="2" fillId="0" borderId="8" xfId="5" applyNumberFormat="1" applyFont="1" applyFill="1" applyBorder="1" applyAlignment="1" applyProtection="1">
      <alignment horizontal="center" vertical="center" shrinkToFit="1"/>
    </xf>
    <xf numFmtId="0" fontId="2" fillId="3" borderId="8" xfId="5" applyNumberFormat="1" applyFont="1" applyFill="1" applyBorder="1" applyAlignment="1" applyProtection="1">
      <alignment horizontal="center" vertical="center" shrinkToFit="1"/>
    </xf>
    <xf numFmtId="183" fontId="2" fillId="3" borderId="8" xfId="5" applyNumberFormat="1" applyFont="1" applyFill="1" applyBorder="1" applyAlignment="1" applyProtection="1">
      <alignment horizontal="right" vertical="center" shrinkToFit="1"/>
    </xf>
    <xf numFmtId="183" fontId="2" fillId="3" borderId="8" xfId="5" applyNumberFormat="1" applyFont="1" applyFill="1" applyBorder="1" applyAlignment="1" applyProtection="1">
      <alignment horizontal="center" vertical="center" shrinkToFit="1"/>
    </xf>
    <xf numFmtId="183" fontId="2" fillId="5" borderId="8" xfId="5" applyNumberFormat="1" applyFont="1" applyFill="1" applyBorder="1" applyAlignment="1" applyProtection="1">
      <alignment horizontal="right" vertical="center" shrinkToFit="1"/>
    </xf>
    <xf numFmtId="0" fontId="2" fillId="0" borderId="0" xfId="5" applyNumberFormat="1" applyFont="1" applyFill="1" applyBorder="1" applyAlignment="1" applyProtection="1">
      <alignment vertical="center"/>
    </xf>
    <xf numFmtId="0" fontId="2" fillId="0" borderId="11" xfId="5" applyNumberFormat="1" applyFont="1" applyFill="1" applyBorder="1" applyAlignment="1" applyProtection="1">
      <alignment horizontal="center" vertical="center"/>
    </xf>
    <xf numFmtId="0" fontId="2" fillId="0" borderId="10" xfId="5" applyNumberFormat="1" applyFont="1" applyFill="1" applyBorder="1" applyAlignment="1" applyProtection="1">
      <alignment vertical="center"/>
    </xf>
    <xf numFmtId="0" fontId="17" fillId="0" borderId="0" xfId="5" applyNumberFormat="1" applyFont="1" applyAlignment="1" applyProtection="1">
      <alignment vertical="center"/>
    </xf>
    <xf numFmtId="0" fontId="2" fillId="0" borderId="0" xfId="5" applyNumberFormat="1" applyFont="1" applyAlignment="1" applyProtection="1">
      <alignment horizontal="left" vertical="center"/>
    </xf>
    <xf numFmtId="0" fontId="2" fillId="0" borderId="8" xfId="5" applyNumberFormat="1" applyFont="1" applyFill="1" applyBorder="1" applyAlignment="1" applyProtection="1">
      <alignment horizontal="right" vertical="center"/>
    </xf>
    <xf numFmtId="0" fontId="2" fillId="0" borderId="0" xfId="5" applyNumberFormat="1" applyFont="1" applyFill="1" applyBorder="1" applyAlignment="1" applyProtection="1">
      <alignment horizontal="left" vertical="center"/>
    </xf>
    <xf numFmtId="183" fontId="2" fillId="0" borderId="8" xfId="5" applyNumberFormat="1" applyFont="1" applyFill="1" applyBorder="1" applyAlignment="1" applyProtection="1">
      <alignment vertical="center"/>
    </xf>
    <xf numFmtId="49" fontId="2" fillId="0" borderId="0" xfId="5" applyNumberFormat="1" applyFont="1" applyFill="1" applyBorder="1" applyAlignment="1" applyProtection="1">
      <alignment vertical="center"/>
    </xf>
    <xf numFmtId="0" fontId="2" fillId="0" borderId="0" xfId="5" applyNumberFormat="1" applyFont="1" applyFill="1" applyBorder="1" applyAlignment="1" applyProtection="1">
      <alignment horizontal="center" vertical="center"/>
    </xf>
    <xf numFmtId="183" fontId="2" fillId="0" borderId="0" xfId="5" applyNumberFormat="1" applyFont="1" applyFill="1" applyBorder="1" applyAlignment="1" applyProtection="1">
      <alignment vertical="center"/>
    </xf>
    <xf numFmtId="49" fontId="2" fillId="0" borderId="0" xfId="5" applyNumberFormat="1" applyFont="1" applyFill="1" applyBorder="1" applyAlignment="1" applyProtection="1">
      <alignment vertical="center" wrapText="1" shrinkToFit="1"/>
    </xf>
    <xf numFmtId="0" fontId="2" fillId="0" borderId="0" xfId="5" applyFont="1" applyAlignment="1" applyProtection="1">
      <alignment vertical="center"/>
    </xf>
    <xf numFmtId="0" fontId="10" fillId="3" borderId="8" xfId="5" applyNumberFormat="1" applyFont="1" applyFill="1" applyBorder="1" applyAlignment="1" applyProtection="1">
      <alignment horizontal="center" vertical="center"/>
    </xf>
    <xf numFmtId="183" fontId="10" fillId="3" borderId="8" xfId="5" applyNumberFormat="1" applyFont="1" applyFill="1" applyBorder="1" applyAlignment="1">
      <alignment horizontal="center" vertical="center"/>
    </xf>
    <xf numFmtId="0" fontId="2" fillId="0" borderId="0" xfId="5" applyNumberFormat="1" applyFont="1" applyAlignment="1" applyProtection="1">
      <alignment vertical="center"/>
    </xf>
    <xf numFmtId="0" fontId="3" fillId="0" borderId="0" xfId="5" applyFont="1" applyAlignment="1" applyProtection="1">
      <alignment vertical="center"/>
    </xf>
    <xf numFmtId="0" fontId="2" fillId="0" borderId="10" xfId="5" applyNumberFormat="1" applyFont="1" applyFill="1" applyBorder="1" applyAlignment="1" applyProtection="1">
      <alignment horizontal="right" vertical="center"/>
    </xf>
    <xf numFmtId="0" fontId="10" fillId="0" borderId="0" xfId="5" applyNumberFormat="1" applyFont="1" applyAlignment="1" applyProtection="1">
      <alignment horizontal="left" vertical="center"/>
    </xf>
    <xf numFmtId="0" fontId="2" fillId="0" borderId="0" xfId="7" applyFont="1" applyAlignment="1" applyProtection="1">
      <alignment vertical="center"/>
    </xf>
    <xf numFmtId="49" fontId="10" fillId="3" borderId="8" xfId="7" applyNumberFormat="1" applyFont="1" applyFill="1" applyBorder="1" applyAlignment="1" applyProtection="1">
      <alignment vertical="center"/>
    </xf>
    <xf numFmtId="0" fontId="10" fillId="3" borderId="8" xfId="7" applyNumberFormat="1" applyFont="1" applyFill="1" applyBorder="1" applyAlignment="1" applyProtection="1">
      <alignment horizontal="center" vertical="center"/>
    </xf>
    <xf numFmtId="183" fontId="10" fillId="3" borderId="8" xfId="7" applyNumberFormat="1" applyFont="1" applyFill="1" applyBorder="1" applyAlignment="1">
      <alignment horizontal="center" vertical="center"/>
    </xf>
    <xf numFmtId="0" fontId="2" fillId="0" borderId="0" xfId="7" applyNumberFormat="1" applyFont="1" applyAlignment="1" applyProtection="1">
      <alignment horizontal="left" vertical="center"/>
    </xf>
    <xf numFmtId="0" fontId="2" fillId="0" borderId="0" xfId="7" applyNumberFormat="1" applyFont="1" applyAlignment="1" applyProtection="1">
      <alignment vertical="center"/>
    </xf>
    <xf numFmtId="49" fontId="2" fillId="0" borderId="8" xfId="7" applyNumberFormat="1" applyFont="1" applyFill="1" applyBorder="1" applyAlignment="1" applyProtection="1">
      <alignment vertical="center"/>
    </xf>
    <xf numFmtId="0" fontId="2" fillId="3" borderId="8" xfId="7" applyNumberFormat="1" applyFont="1" applyFill="1" applyBorder="1" applyAlignment="1" applyProtection="1">
      <alignment horizontal="center" vertical="center" shrinkToFit="1"/>
    </xf>
    <xf numFmtId="183" fontId="2" fillId="5" borderId="8" xfId="7" applyNumberFormat="1" applyFont="1" applyFill="1" applyBorder="1" applyAlignment="1" applyProtection="1">
      <alignment horizontal="right" vertical="center" shrinkToFit="1"/>
    </xf>
    <xf numFmtId="0" fontId="17" fillId="0" borderId="0" xfId="7" applyNumberFormat="1" applyFont="1" applyAlignment="1" applyProtection="1">
      <alignment vertical="center"/>
    </xf>
    <xf numFmtId="0" fontId="3" fillId="0" borderId="0" xfId="7" applyFont="1" applyAlignment="1" applyProtection="1">
      <alignment vertical="center"/>
    </xf>
    <xf numFmtId="0" fontId="2" fillId="0" borderId="8" xfId="7" applyNumberFormat="1" applyFont="1" applyFill="1" applyBorder="1" applyAlignment="1" applyProtection="1">
      <alignment horizontal="right" vertical="center"/>
    </xf>
    <xf numFmtId="4" fontId="2" fillId="0" borderId="8" xfId="7" applyNumberFormat="1" applyFont="1" applyFill="1" applyBorder="1" applyAlignment="1" applyProtection="1">
      <alignment horizontal="left" vertical="center" shrinkToFit="1"/>
    </xf>
    <xf numFmtId="0" fontId="2" fillId="0" borderId="10" xfId="7" applyNumberFormat="1" applyFont="1" applyFill="1" applyBorder="1" applyAlignment="1" applyProtection="1">
      <alignment horizontal="right" vertical="center"/>
    </xf>
    <xf numFmtId="0" fontId="10" fillId="0" borderId="0" xfId="7" applyNumberFormat="1" applyFont="1" applyAlignment="1" applyProtection="1">
      <alignment horizontal="left" vertical="center"/>
    </xf>
    <xf numFmtId="183" fontId="2" fillId="0" borderId="8" xfId="7" applyNumberFormat="1" applyFont="1" applyFill="1" applyBorder="1" applyAlignment="1" applyProtection="1">
      <alignment vertical="center"/>
    </xf>
    <xf numFmtId="0" fontId="2" fillId="0" borderId="0" xfId="7" applyFont="1" applyAlignment="1">
      <alignment vertical="center"/>
    </xf>
    <xf numFmtId="0" fontId="2" fillId="0" borderId="0" xfId="7" applyNumberFormat="1" applyFont="1" applyFill="1" applyBorder="1" applyAlignment="1" applyProtection="1">
      <alignment vertical="center"/>
    </xf>
    <xf numFmtId="0" fontId="2" fillId="0" borderId="0" xfId="7" applyNumberFormat="1" applyFont="1" applyFill="1" applyBorder="1" applyAlignment="1" applyProtection="1">
      <alignment horizontal="left" vertical="center"/>
    </xf>
    <xf numFmtId="49" fontId="2" fillId="0" borderId="0" xfId="7" applyNumberFormat="1" applyFont="1" applyFill="1" applyBorder="1" applyAlignment="1" applyProtection="1">
      <alignment vertical="center"/>
    </xf>
    <xf numFmtId="0" fontId="2" fillId="0" borderId="0" xfId="7" applyNumberFormat="1" applyFont="1" applyFill="1" applyBorder="1" applyAlignment="1" applyProtection="1">
      <alignment horizontal="center" vertical="center"/>
    </xf>
    <xf numFmtId="183" fontId="2" fillId="0" borderId="0" xfId="7" applyNumberFormat="1" applyFont="1" applyFill="1" applyBorder="1" applyAlignment="1" applyProtection="1">
      <alignment vertical="center"/>
    </xf>
    <xf numFmtId="49" fontId="2" fillId="0" borderId="0" xfId="7" applyNumberFormat="1" applyFont="1" applyFill="1" applyBorder="1" applyAlignment="1" applyProtection="1">
      <alignment vertical="center" wrapText="1" shrinkToFit="1"/>
    </xf>
    <xf numFmtId="0" fontId="4" fillId="0" borderId="0" xfId="7" applyNumberFormat="1" applyFont="1" applyAlignment="1" applyProtection="1">
      <alignment horizontal="left" vertical="center"/>
    </xf>
    <xf numFmtId="0" fontId="4" fillId="0" borderId="0" xfId="7" applyFont="1" applyAlignment="1" applyProtection="1">
      <alignment vertical="center"/>
    </xf>
    <xf numFmtId="0" fontId="2" fillId="0" borderId="8" xfId="7" applyNumberFormat="1" applyFont="1" applyFill="1" applyBorder="1" applyAlignment="1" applyProtection="1">
      <alignment horizontal="left" vertical="center"/>
    </xf>
    <xf numFmtId="0" fontId="3" fillId="0" borderId="0" xfId="7" applyNumberFormat="1" applyFont="1" applyAlignment="1" applyProtection="1">
      <alignment vertical="center"/>
    </xf>
    <xf numFmtId="177" fontId="1" fillId="0" borderId="0" xfId="17" applyNumberFormat="1" applyFont="1" applyBorder="1" applyAlignment="1">
      <alignment vertical="center"/>
    </xf>
    <xf numFmtId="0" fontId="1" fillId="0" borderId="0" xfId="17" applyFont="1" applyBorder="1" applyAlignment="1">
      <alignment vertical="center"/>
    </xf>
    <xf numFmtId="0" fontId="1" fillId="0" borderId="0" xfId="17" applyFont="1" applyAlignment="1">
      <alignment vertical="center"/>
    </xf>
    <xf numFmtId="0" fontId="7" fillId="5" borderId="0" xfId="17" applyFont="1" applyFill="1" applyAlignment="1">
      <alignment horizontal="center" vertical="center"/>
    </xf>
    <xf numFmtId="177" fontId="1" fillId="0" borderId="0" xfId="17" applyNumberFormat="1" applyFont="1" applyAlignment="1">
      <alignment vertical="center"/>
    </xf>
    <xf numFmtId="0" fontId="1" fillId="0" borderId="0" xfId="17" applyFont="1" applyFill="1" applyAlignment="1">
      <alignment vertical="center"/>
    </xf>
    <xf numFmtId="0" fontId="1" fillId="0" borderId="0" xfId="17" applyFont="1" applyFill="1" applyBorder="1" applyAlignment="1">
      <alignment vertical="center"/>
    </xf>
    <xf numFmtId="177" fontId="1" fillId="0" borderId="0" xfId="17" applyNumberFormat="1" applyFont="1" applyAlignment="1">
      <alignment horizontal="right" vertical="center"/>
    </xf>
    <xf numFmtId="0" fontId="1" fillId="0" borderId="2" xfId="17" applyFont="1" applyBorder="1" applyAlignment="1">
      <alignment vertical="center"/>
    </xf>
    <xf numFmtId="177" fontId="1" fillId="0" borderId="3" xfId="17" applyNumberFormat="1" applyFont="1" applyBorder="1" applyAlignment="1">
      <alignment vertical="center"/>
    </xf>
    <xf numFmtId="0" fontId="1" fillId="9" borderId="6" xfId="17" applyFont="1" applyFill="1" applyBorder="1" applyAlignment="1">
      <alignment vertical="center"/>
    </xf>
    <xf numFmtId="177" fontId="1" fillId="0" borderId="1" xfId="17" applyNumberFormat="1" applyFont="1" applyBorder="1" applyAlignment="1">
      <alignment vertical="center"/>
    </xf>
    <xf numFmtId="0" fontId="1" fillId="9" borderId="4" xfId="17" applyFont="1" applyFill="1" applyBorder="1" applyAlignment="1">
      <alignment vertical="center"/>
    </xf>
    <xf numFmtId="177" fontId="1" fillId="0" borderId="5" xfId="17" applyNumberFormat="1" applyFont="1" applyBorder="1" applyAlignment="1">
      <alignment vertical="center"/>
    </xf>
    <xf numFmtId="0" fontId="1" fillId="9" borderId="2" xfId="17" applyFont="1" applyFill="1" applyBorder="1" applyAlignment="1">
      <alignment vertical="center"/>
    </xf>
    <xf numFmtId="0" fontId="1" fillId="9" borderId="0" xfId="17" applyFont="1" applyFill="1" applyAlignment="1">
      <alignment vertical="center"/>
    </xf>
    <xf numFmtId="186" fontId="2" fillId="0" borderId="0" xfId="17" applyNumberFormat="1" applyFont="1" applyBorder="1" applyAlignment="1" applyProtection="1">
      <alignment vertical="center"/>
    </xf>
    <xf numFmtId="177" fontId="1" fillId="0" borderId="0" xfId="17" applyNumberFormat="1" applyFont="1" applyAlignment="1">
      <alignment horizontal="left" vertical="center"/>
    </xf>
    <xf numFmtId="186" fontId="1" fillId="0" borderId="0" xfId="17" applyNumberFormat="1" applyFont="1" applyAlignment="1">
      <alignment horizontal="right" vertical="center"/>
    </xf>
    <xf numFmtId="0" fontId="2" fillId="0" borderId="0" xfId="17" applyFont="1" applyBorder="1" applyAlignment="1" applyProtection="1">
      <alignment vertical="center"/>
    </xf>
    <xf numFmtId="0" fontId="1" fillId="0" borderId="0" xfId="17" applyFont="1" applyAlignment="1">
      <alignment horizontal="left" vertical="center"/>
    </xf>
    <xf numFmtId="0" fontId="2" fillId="11" borderId="0" xfId="17" applyNumberFormat="1" applyFont="1" applyFill="1" applyBorder="1" applyAlignment="1" applyProtection="1">
      <alignment horizontal="right" vertical="center"/>
    </xf>
    <xf numFmtId="0" fontId="2" fillId="9" borderId="0" xfId="17" applyFont="1" applyFill="1" applyBorder="1" applyAlignment="1" applyProtection="1">
      <alignment horizontal="right" vertical="center"/>
    </xf>
    <xf numFmtId="0" fontId="2" fillId="10" borderId="0" xfId="17" applyNumberFormat="1" applyFont="1" applyFill="1" applyBorder="1" applyAlignment="1" applyProtection="1">
      <alignment horizontal="right" vertical="center"/>
    </xf>
    <xf numFmtId="0" fontId="2" fillId="9" borderId="0" xfId="17" applyFont="1" applyFill="1" applyBorder="1" applyAlignment="1">
      <alignment horizontal="right" vertical="center"/>
    </xf>
    <xf numFmtId="0" fontId="2" fillId="9" borderId="0" xfId="17" applyNumberFormat="1" applyFont="1" applyFill="1" applyBorder="1" applyAlignment="1" applyProtection="1">
      <alignment horizontal="right" vertical="center"/>
    </xf>
    <xf numFmtId="186" fontId="1" fillId="0" borderId="0" xfId="17" applyNumberFormat="1" applyFont="1" applyAlignment="1">
      <alignment vertical="center"/>
    </xf>
    <xf numFmtId="183" fontId="2" fillId="12" borderId="8" xfId="5" applyNumberFormat="1" applyFont="1" applyFill="1" applyBorder="1" applyAlignment="1" applyProtection="1">
      <alignment horizontal="center" vertical="center" shrinkToFit="1"/>
    </xf>
    <xf numFmtId="177" fontId="1" fillId="0" borderId="0" xfId="17" applyNumberFormat="1" applyFont="1" applyBorder="1" applyAlignment="1">
      <alignment horizontal="right" vertical="center"/>
    </xf>
    <xf numFmtId="0" fontId="10" fillId="3" borderId="8" xfId="17" applyNumberFormat="1" applyFont="1" applyFill="1" applyBorder="1" applyAlignment="1" applyProtection="1">
      <alignment horizontal="left" vertical="center"/>
    </xf>
    <xf numFmtId="183" fontId="2" fillId="12" borderId="8" xfId="0" applyNumberFormat="1" applyFont="1" applyFill="1" applyBorder="1" applyAlignment="1" applyProtection="1">
      <alignment horizontal="center" vertical="center" shrinkToFit="1"/>
    </xf>
    <xf numFmtId="183" fontId="2" fillId="12" borderId="8" xfId="17" applyNumberFormat="1" applyFont="1" applyFill="1" applyBorder="1" applyAlignment="1" applyProtection="1">
      <alignment horizontal="center" vertical="center" shrinkToFit="1"/>
    </xf>
    <xf numFmtId="183" fontId="2" fillId="12" borderId="8" xfId="7" applyNumberFormat="1" applyFont="1" applyFill="1" applyBorder="1" applyAlignment="1" applyProtection="1">
      <alignment horizontal="center" vertical="center" shrinkToFit="1"/>
    </xf>
    <xf numFmtId="0" fontId="10" fillId="12" borderId="0" xfId="5" applyFont="1" applyFill="1" applyAlignment="1" applyProtection="1">
      <alignment horizontal="center" vertical="center"/>
    </xf>
    <xf numFmtId="0" fontId="10" fillId="12" borderId="0" xfId="5" applyNumberFormat="1" applyFont="1" applyFill="1" applyAlignment="1" applyProtection="1">
      <alignment horizontal="center" vertical="center"/>
    </xf>
    <xf numFmtId="49" fontId="10" fillId="3" borderId="14" xfId="17" applyNumberFormat="1" applyFont="1" applyFill="1" applyBorder="1" applyAlignment="1" applyProtection="1">
      <alignment horizontal="left" vertical="center"/>
    </xf>
    <xf numFmtId="0" fontId="10" fillId="3" borderId="14" xfId="17" applyNumberFormat="1" applyFont="1" applyFill="1" applyBorder="1" applyAlignment="1" applyProtection="1">
      <alignment horizontal="center" vertical="center"/>
    </xf>
    <xf numFmtId="183" fontId="10" fillId="3" borderId="14" xfId="17" applyNumberFormat="1" applyFont="1" applyFill="1" applyBorder="1" applyAlignment="1">
      <alignment horizontal="center" vertical="center"/>
    </xf>
    <xf numFmtId="0" fontId="2" fillId="0" borderId="0" xfId="17" applyFont="1" applyBorder="1" applyAlignment="1">
      <alignment horizontal="right" vertical="center"/>
    </xf>
    <xf numFmtId="0" fontId="2" fillId="0" borderId="0" xfId="17" applyNumberFormat="1" applyFont="1" applyBorder="1" applyAlignment="1" applyProtection="1">
      <alignment horizontal="right" vertical="center"/>
    </xf>
    <xf numFmtId="49" fontId="2" fillId="0" borderId="0" xfId="17" applyNumberFormat="1" applyFont="1" applyBorder="1" applyAlignment="1" applyProtection="1">
      <alignment horizontal="right" vertical="center"/>
    </xf>
    <xf numFmtId="49" fontId="2" fillId="0" borderId="0" xfId="17" applyNumberFormat="1" applyFont="1" applyBorder="1" applyAlignment="1" applyProtection="1">
      <alignment horizontal="center" vertical="center"/>
    </xf>
    <xf numFmtId="49" fontId="10" fillId="0" borderId="0" xfId="17" applyNumberFormat="1" applyFont="1" applyBorder="1" applyAlignment="1" applyProtection="1">
      <alignment horizontal="center" vertical="center"/>
    </xf>
    <xf numFmtId="49" fontId="4" fillId="0" borderId="0" xfId="17" applyNumberFormat="1" applyFont="1" applyBorder="1" applyAlignment="1" applyProtection="1">
      <alignment vertical="center"/>
    </xf>
    <xf numFmtId="0" fontId="10" fillId="0" borderId="0" xfId="17" applyNumberFormat="1" applyFont="1" applyBorder="1" applyAlignment="1" applyProtection="1">
      <alignment horizontal="center" vertical="center"/>
    </xf>
    <xf numFmtId="0" fontId="4" fillId="0" borderId="0" xfId="17" applyFont="1" applyBorder="1" applyAlignment="1" applyProtection="1">
      <alignment vertical="center"/>
    </xf>
    <xf numFmtId="0" fontId="14" fillId="0" borderId="8" xfId="17" applyNumberFormat="1" applyFont="1" applyFill="1" applyBorder="1" applyAlignment="1" applyProtection="1">
      <alignment horizontal="center" vertical="center"/>
    </xf>
    <xf numFmtId="0" fontId="2" fillId="0" borderId="0" xfId="17" applyFont="1" applyBorder="1" applyAlignment="1">
      <alignment vertical="center"/>
    </xf>
    <xf numFmtId="49" fontId="10" fillId="3" borderId="8" xfId="17" applyNumberFormat="1" applyFont="1" applyFill="1" applyBorder="1" applyAlignment="1" applyProtection="1">
      <alignment horizontal="left" vertical="center"/>
    </xf>
    <xf numFmtId="0" fontId="4" fillId="0" borderId="0" xfId="17" applyNumberFormat="1" applyFont="1" applyAlignment="1" applyProtection="1">
      <alignment horizontal="left" vertical="center"/>
    </xf>
    <xf numFmtId="49" fontId="2" fillId="0" borderId="8" xfId="17" applyNumberFormat="1" applyFont="1" applyFill="1" applyBorder="1" applyAlignment="1" applyProtection="1">
      <alignment horizontal="left" vertical="center"/>
    </xf>
    <xf numFmtId="183" fontId="2" fillId="8" borderId="8" xfId="17" applyNumberFormat="1" applyFont="1" applyFill="1" applyBorder="1" applyAlignment="1" applyProtection="1">
      <alignment horizontal="center" vertical="center" shrinkToFit="1"/>
    </xf>
    <xf numFmtId="0" fontId="1" fillId="0" borderId="0" xfId="17" applyFont="1" applyAlignment="1" applyProtection="1">
      <alignment horizontal="left" vertical="center"/>
    </xf>
    <xf numFmtId="0" fontId="4" fillId="0" borderId="0" xfId="17" applyFont="1" applyAlignment="1">
      <alignment vertical="center"/>
    </xf>
    <xf numFmtId="0" fontId="5" fillId="0" borderId="7" xfId="6" applyNumberFormat="1" applyFont="1" applyFill="1" applyBorder="1" applyAlignment="1">
      <alignment horizontal="left" vertical="center"/>
    </xf>
    <xf numFmtId="49" fontId="10" fillId="3" borderId="8" xfId="5" applyNumberFormat="1" applyFont="1" applyFill="1" applyBorder="1" applyAlignment="1" applyProtection="1">
      <alignment horizontal="left" vertical="center"/>
    </xf>
    <xf numFmtId="0" fontId="2" fillId="0" borderId="8" xfId="5" applyNumberFormat="1" applyFont="1" applyFill="1" applyBorder="1" applyAlignment="1" applyProtection="1">
      <alignment vertical="center"/>
    </xf>
    <xf numFmtId="0" fontId="4" fillId="0" borderId="0" xfId="5" applyFont="1" applyAlignment="1" applyProtection="1">
      <alignment vertical="center"/>
    </xf>
    <xf numFmtId="4" fontId="2" fillId="0" borderId="8" xfId="5" applyNumberFormat="1" applyFont="1" applyFill="1" applyBorder="1" applyAlignment="1" applyProtection="1">
      <alignment horizontal="left" vertical="center" shrinkToFit="1"/>
    </xf>
    <xf numFmtId="0" fontId="10" fillId="3" borderId="8" xfId="5" applyNumberFormat="1" applyFont="1" applyFill="1" applyBorder="1" applyAlignment="1" applyProtection="1">
      <alignment horizontal="left" vertical="center"/>
    </xf>
    <xf numFmtId="0" fontId="4" fillId="0" borderId="0" xfId="5" applyFont="1" applyFill="1" applyAlignment="1">
      <alignment horizontal="center" vertical="center"/>
    </xf>
    <xf numFmtId="0" fontId="2" fillId="0" borderId="0" xfId="5" applyFont="1" applyAlignment="1">
      <alignment vertical="center"/>
    </xf>
    <xf numFmtId="0" fontId="1" fillId="0" borderId="7" xfId="5" applyFont="1" applyBorder="1" applyAlignment="1">
      <alignment vertical="center"/>
    </xf>
    <xf numFmtId="49" fontId="4" fillId="0" borderId="0" xfId="5" applyNumberFormat="1" applyFont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0" xfId="5" applyFont="1" applyAlignment="1" applyProtection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horizontal="center"/>
    </xf>
    <xf numFmtId="0" fontId="1" fillId="0" borderId="0" xfId="5" applyFont="1"/>
    <xf numFmtId="0" fontId="1" fillId="0" borderId="0" xfId="5" applyFont="1" applyProtection="1"/>
    <xf numFmtId="0" fontId="9" fillId="0" borderId="0" xfId="5" applyFont="1" applyFill="1" applyAlignment="1">
      <alignment horizontal="center" vertical="center"/>
    </xf>
    <xf numFmtId="0" fontId="3" fillId="0" borderId="0" xfId="5" applyFont="1" applyAlignment="1">
      <alignment vertical="center"/>
    </xf>
    <xf numFmtId="0" fontId="1" fillId="0" borderId="0" xfId="5" applyFont="1" applyAlignment="1">
      <alignment horizontal="left" vertical="center"/>
    </xf>
    <xf numFmtId="0" fontId="1" fillId="0" borderId="0" xfId="5" applyFont="1" applyAlignment="1">
      <alignment horizontal="center" vertical="center"/>
    </xf>
    <xf numFmtId="0" fontId="1" fillId="0" borderId="8" xfId="5" applyFont="1" applyBorder="1" applyAlignment="1">
      <alignment horizontal="center" vertical="center"/>
    </xf>
    <xf numFmtId="0" fontId="2" fillId="0" borderId="8" xfId="5" applyNumberFormat="1" applyFont="1" applyFill="1" applyBorder="1" applyAlignment="1">
      <alignment horizontal="left" vertical="center" shrinkToFit="1"/>
    </xf>
    <xf numFmtId="0" fontId="5" fillId="0" borderId="8" xfId="5" applyNumberFormat="1" applyFont="1" applyFill="1" applyBorder="1" applyAlignment="1">
      <alignment horizontal="center" vertical="center"/>
    </xf>
    <xf numFmtId="0" fontId="2" fillId="0" borderId="8" xfId="5" applyNumberFormat="1" applyFont="1" applyFill="1" applyBorder="1" applyAlignment="1">
      <alignment horizontal="center" vertical="center"/>
    </xf>
    <xf numFmtId="4" fontId="2" fillId="0" borderId="8" xfId="5" applyNumberFormat="1" applyFont="1" applyFill="1" applyBorder="1" applyAlignment="1">
      <alignment horizontal="right" vertical="center" shrinkToFit="1"/>
    </xf>
    <xf numFmtId="181" fontId="5" fillId="0" borderId="8" xfId="17" applyNumberFormat="1" applyFont="1" applyFill="1" applyBorder="1" applyAlignment="1">
      <alignment horizontal="right" vertical="center" shrinkToFit="1"/>
    </xf>
    <xf numFmtId="0" fontId="11" fillId="0" borderId="0" xfId="5" applyFont="1" applyAlignment="1">
      <alignment horizontal="center" vertical="center"/>
    </xf>
    <xf numFmtId="0" fontId="6" fillId="0" borderId="8" xfId="17" applyNumberFormat="1" applyFont="1" applyFill="1" applyBorder="1" applyAlignment="1">
      <alignment horizontal="right" vertical="center"/>
    </xf>
    <xf numFmtId="0" fontId="2" fillId="0" borderId="0" xfId="5" applyFont="1" applyFill="1" applyAlignment="1" applyProtection="1">
      <alignment vertical="center"/>
    </xf>
    <xf numFmtId="0" fontId="4" fillId="0" borderId="0" xfId="5" applyFont="1" applyFill="1" applyAlignment="1">
      <alignment vertical="center"/>
    </xf>
    <xf numFmtId="0" fontId="4" fillId="0" borderId="0" xfId="5" applyFont="1" applyFill="1" applyAlignment="1" applyProtection="1">
      <alignment vertical="center"/>
    </xf>
    <xf numFmtId="0" fontId="5" fillId="0" borderId="0" xfId="5" applyFont="1" applyAlignment="1" applyProtection="1">
      <alignment vertical="center"/>
    </xf>
    <xf numFmtId="0" fontId="1" fillId="0" borderId="0" xfId="5" applyFont="1" applyFill="1" applyAlignment="1">
      <alignment vertical="center"/>
    </xf>
    <xf numFmtId="0" fontId="10" fillId="12" borderId="0" xfId="17" applyFont="1" applyFill="1" applyAlignment="1" applyProtection="1">
      <alignment horizontal="center" vertical="center"/>
    </xf>
    <xf numFmtId="0" fontId="10" fillId="12" borderId="0" xfId="17" applyNumberFormat="1" applyFont="1" applyFill="1" applyAlignment="1" applyProtection="1">
      <alignment horizontal="center" vertical="center"/>
    </xf>
    <xf numFmtId="4" fontId="2" fillId="5" borderId="8" xfId="0" applyNumberFormat="1" applyFont="1" applyFill="1" applyBorder="1" applyAlignment="1" applyProtection="1">
      <alignment horizontal="right" vertical="center" shrinkToFit="1"/>
    </xf>
    <xf numFmtId="0" fontId="5" fillId="0" borderId="7" xfId="6" applyNumberFormat="1" applyFont="1" applyFill="1" applyBorder="1" applyAlignment="1">
      <alignment horizontal="left" vertical="center"/>
    </xf>
    <xf numFmtId="188" fontId="3" fillId="0" borderId="0" xfId="0" applyNumberFormat="1" applyFont="1" applyAlignment="1" applyProtection="1">
      <alignment vertical="center"/>
    </xf>
    <xf numFmtId="189" fontId="3" fillId="0" borderId="0" xfId="0" applyNumberFormat="1" applyFont="1" applyAlignment="1" applyProtection="1">
      <alignment vertical="center"/>
    </xf>
    <xf numFmtId="0" fontId="10" fillId="3" borderId="8" xfId="5" applyNumberFormat="1" applyFont="1" applyFill="1" applyBorder="1" applyAlignment="1" applyProtection="1">
      <alignment vertical="center"/>
    </xf>
    <xf numFmtId="49" fontId="2" fillId="0" borderId="8" xfId="5" applyNumberFormat="1" applyFont="1" applyFill="1" applyBorder="1" applyAlignment="1" applyProtection="1">
      <alignment horizontal="left" vertical="center"/>
    </xf>
    <xf numFmtId="0" fontId="3" fillId="0" borderId="0" xfId="5" applyNumberFormat="1" applyFont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0" fillId="5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vertical="center"/>
    </xf>
    <xf numFmtId="0" fontId="6" fillId="5" borderId="8" xfId="0" applyNumberFormat="1" applyFont="1" applyFill="1" applyBorder="1" applyAlignment="1" applyProtection="1">
      <alignment horizontal="center" vertical="center"/>
    </xf>
    <xf numFmtId="49" fontId="10" fillId="5" borderId="8" xfId="0" applyNumberFormat="1" applyFont="1" applyFill="1" applyBorder="1" applyAlignment="1" applyProtection="1">
      <alignment horizontal="center" vertical="center"/>
    </xf>
    <xf numFmtId="49" fontId="10" fillId="5" borderId="8" xfId="0" applyNumberFormat="1" applyFont="1" applyFill="1" applyBorder="1" applyAlignment="1" applyProtection="1">
      <alignment horizontal="left" vertical="center"/>
    </xf>
    <xf numFmtId="0" fontId="10" fillId="5" borderId="8" xfId="0" applyNumberFormat="1" applyFont="1" applyFill="1" applyBorder="1" applyAlignment="1" applyProtection="1">
      <alignment horizontal="center" vertical="center"/>
    </xf>
    <xf numFmtId="180" fontId="10" fillId="5" borderId="8" xfId="0" applyNumberFormat="1" applyFont="1" applyFill="1" applyBorder="1" applyAlignment="1" applyProtection="1">
      <alignment horizontal="center" vertical="center"/>
    </xf>
    <xf numFmtId="184" fontId="10" fillId="5" borderId="8" xfId="0" applyNumberFormat="1" applyFont="1" applyFill="1" applyBorder="1" applyAlignment="1" applyProtection="1">
      <alignment horizontal="center" vertical="center"/>
    </xf>
    <xf numFmtId="49" fontId="10" fillId="5" borderId="7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shrinkToFit="1"/>
    </xf>
    <xf numFmtId="0" fontId="6" fillId="0" borderId="0" xfId="0" applyNumberFormat="1" applyFont="1" applyFill="1" applyBorder="1" applyAlignment="1" applyProtection="1">
      <alignment vertical="center" shrinkToFit="1"/>
    </xf>
    <xf numFmtId="0" fontId="10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183" fontId="16" fillId="3" borderId="8" xfId="10" applyNumberFormat="1" applyFont="1" applyFill="1" applyBorder="1" applyAlignment="1" applyProtection="1">
      <alignment horizontal="center" vertical="center"/>
    </xf>
    <xf numFmtId="0" fontId="29" fillId="0" borderId="0" xfId="0" applyFont="1" applyAlignment="1" applyProtection="1">
      <alignment horizontal="center" vertical="center"/>
    </xf>
    <xf numFmtId="0" fontId="5" fillId="4" borderId="8" xfId="8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180" fontId="5" fillId="0" borderId="8" xfId="4" applyNumberFormat="1" applyFont="1" applyFill="1" applyBorder="1" applyAlignment="1" applyProtection="1">
      <alignment horizontal="center" vertical="center" wrapText="1"/>
    </xf>
    <xf numFmtId="0" fontId="10" fillId="3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 applyProtection="1">
      <alignment vertical="center" wrapText="1"/>
      <protection hidden="1"/>
    </xf>
    <xf numFmtId="45" fontId="2" fillId="0" borderId="0" xfId="5" applyNumberFormat="1" applyFont="1" applyAlignment="1" applyProtection="1">
      <alignment vertical="center"/>
    </xf>
    <xf numFmtId="0" fontId="5" fillId="0" borderId="0" xfId="7" applyFont="1" applyAlignment="1" applyProtection="1">
      <alignment horizontal="left" vertical="center"/>
    </xf>
    <xf numFmtId="0" fontId="5" fillId="0" borderId="7" xfId="6" applyNumberFormat="1" applyFont="1" applyFill="1" applyBorder="1" applyAlignment="1">
      <alignment horizontal="left" vertical="center"/>
    </xf>
    <xf numFmtId="0" fontId="6" fillId="13" borderId="8" xfId="5" applyNumberFormat="1" applyFont="1" applyFill="1" applyBorder="1" applyAlignment="1" applyProtection="1">
      <alignment horizontal="center" vertical="center"/>
    </xf>
    <xf numFmtId="0" fontId="6" fillId="13" borderId="8" xfId="11" applyNumberFormat="1" applyFont="1" applyFill="1" applyBorder="1" applyAlignment="1" applyProtection="1">
      <alignment horizontal="center" vertical="center"/>
    </xf>
    <xf numFmtId="180" fontId="6" fillId="13" borderId="8" xfId="11" applyNumberFormat="1" applyFont="1" applyFill="1" applyBorder="1" applyAlignment="1" applyProtection="1">
      <alignment horizontal="center" vertical="center"/>
    </xf>
    <xf numFmtId="0" fontId="6" fillId="13" borderId="8" xfId="11" applyNumberFormat="1" applyFont="1" applyFill="1" applyBorder="1" applyAlignment="1">
      <alignment horizontal="center" vertical="center"/>
    </xf>
    <xf numFmtId="0" fontId="6" fillId="13" borderId="8" xfId="17" applyNumberFormat="1" applyFont="1" applyFill="1" applyBorder="1" applyAlignment="1">
      <alignment horizontal="center" vertical="center"/>
    </xf>
    <xf numFmtId="180" fontId="6" fillId="13" borderId="8" xfId="11" applyNumberFormat="1" applyFont="1" applyFill="1" applyBorder="1" applyAlignment="1">
      <alignment horizontal="center" vertical="center"/>
    </xf>
    <xf numFmtId="0" fontId="6" fillId="13" borderId="8" xfId="5" applyNumberFormat="1" applyFont="1" applyFill="1" applyBorder="1" applyAlignment="1">
      <alignment horizontal="center" vertical="center"/>
    </xf>
    <xf numFmtId="0" fontId="6" fillId="13" borderId="8" xfId="6" applyNumberFormat="1" applyFont="1" applyFill="1" applyBorder="1" applyAlignment="1" applyProtection="1">
      <alignment horizontal="center" vertical="center" shrinkToFit="1"/>
    </xf>
    <xf numFmtId="0" fontId="6" fillId="13" borderId="8" xfId="6" applyNumberFormat="1" applyFont="1" applyFill="1" applyBorder="1" applyAlignment="1" applyProtection="1">
      <alignment horizontal="left" vertical="center" shrinkToFit="1"/>
    </xf>
    <xf numFmtId="0" fontId="6" fillId="13" borderId="8" xfId="6" applyNumberFormat="1" applyFont="1" applyFill="1" applyBorder="1" applyAlignment="1" applyProtection="1">
      <alignment vertical="center" shrinkToFit="1"/>
    </xf>
    <xf numFmtId="183" fontId="6" fillId="13" borderId="8" xfId="6" applyNumberFormat="1" applyFont="1" applyFill="1" applyBorder="1" applyAlignment="1" applyProtection="1">
      <alignment horizontal="center" vertical="center" shrinkToFit="1"/>
    </xf>
    <xf numFmtId="49" fontId="6" fillId="13" borderId="8" xfId="6" applyNumberFormat="1" applyFont="1" applyFill="1" applyBorder="1" applyAlignment="1" applyProtection="1">
      <alignment horizontal="center" vertical="center" wrapText="1" shrinkToFit="1"/>
    </xf>
    <xf numFmtId="0" fontId="10" fillId="13" borderId="8" xfId="6" applyNumberFormat="1" applyFont="1" applyFill="1" applyBorder="1" applyAlignment="1" applyProtection="1">
      <alignment horizontal="center" vertical="center" shrinkToFit="1"/>
    </xf>
    <xf numFmtId="183" fontId="10" fillId="13" borderId="8" xfId="6" applyNumberFormat="1" applyFont="1" applyFill="1" applyBorder="1" applyAlignment="1" applyProtection="1">
      <alignment horizontal="center" vertical="center" shrinkToFit="1"/>
    </xf>
    <xf numFmtId="0" fontId="10" fillId="13" borderId="0" xfId="17" applyFont="1" applyFill="1" applyAlignment="1" applyProtection="1">
      <alignment vertical="center"/>
    </xf>
    <xf numFmtId="0" fontId="10" fillId="13" borderId="0" xfId="5" applyFont="1" applyFill="1" applyAlignment="1" applyProtection="1">
      <alignment vertical="center"/>
    </xf>
    <xf numFmtId="0" fontId="20" fillId="0" borderId="0" xfId="17" applyAlignment="1">
      <alignment vertical="center"/>
    </xf>
    <xf numFmtId="0" fontId="1" fillId="0" borderId="0" xfId="17" applyFont="1" applyAlignment="1">
      <alignment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right" vertical="center"/>
    </xf>
    <xf numFmtId="184" fontId="10" fillId="0" borderId="0" xfId="0" applyNumberFormat="1" applyFont="1" applyFill="1" applyBorder="1" applyAlignment="1" applyProtection="1">
      <alignment horizontal="left" vertical="center"/>
    </xf>
    <xf numFmtId="0" fontId="5" fillId="0" borderId="7" xfId="17" applyNumberFormat="1" applyFont="1" applyFill="1" applyBorder="1" applyAlignment="1">
      <alignment horizontal="left" vertical="center"/>
    </xf>
    <xf numFmtId="0" fontId="5" fillId="0" borderId="17" xfId="6" applyNumberFormat="1" applyFont="1" applyFill="1" applyBorder="1" applyAlignment="1">
      <alignment horizontal="left" vertical="center"/>
    </xf>
    <xf numFmtId="0" fontId="5" fillId="0" borderId="7" xfId="17" applyNumberFormat="1" applyFont="1" applyFill="1" applyBorder="1" applyAlignment="1">
      <alignment vertical="center"/>
    </xf>
    <xf numFmtId="0" fontId="1" fillId="0" borderId="7" xfId="7" applyFont="1" applyBorder="1" applyAlignment="1" applyProtection="1">
      <alignment horizontal="left" vertical="center"/>
    </xf>
    <xf numFmtId="0" fontId="5" fillId="0" borderId="7" xfId="6" applyNumberFormat="1" applyFont="1" applyFill="1" applyBorder="1" applyAlignment="1">
      <alignment horizontal="left" vertical="center"/>
    </xf>
    <xf numFmtId="0" fontId="18" fillId="0" borderId="7" xfId="0" applyFont="1" applyBorder="1" applyAlignment="1" applyProtection="1">
      <alignment horizontal="left" vertical="center"/>
    </xf>
    <xf numFmtId="0" fontId="1" fillId="0" borderId="7" xfId="5" applyFont="1" applyBorder="1" applyAlignment="1">
      <alignment horizontal="center"/>
    </xf>
    <xf numFmtId="0" fontId="30" fillId="0" borderId="16" xfId="0" applyFont="1" applyBorder="1" applyAlignment="1" applyProtection="1">
      <alignment horizontal="center" vertical="center" wrapText="1"/>
      <protection hidden="1"/>
    </xf>
    <xf numFmtId="179" fontId="5" fillId="0" borderId="7" xfId="17" applyNumberFormat="1" applyFont="1" applyFill="1" applyBorder="1" applyAlignment="1">
      <alignment horizontal="left" vertical="center"/>
    </xf>
    <xf numFmtId="0" fontId="5" fillId="0" borderId="7" xfId="17" applyNumberFormat="1" applyFont="1" applyFill="1" applyBorder="1" applyAlignment="1">
      <alignment vertical="center" shrinkToFit="1"/>
    </xf>
    <xf numFmtId="0" fontId="5" fillId="0" borderId="7" xfId="17" applyNumberFormat="1" applyFont="1" applyFill="1" applyBorder="1" applyAlignment="1">
      <alignment horizontal="left" vertical="center" shrinkToFit="1"/>
    </xf>
    <xf numFmtId="0" fontId="7" fillId="0" borderId="0" xfId="0" applyFont="1" applyBorder="1" applyAlignment="1" applyProtection="1">
      <alignment horizontal="right" vertical="center"/>
    </xf>
    <xf numFmtId="0" fontId="6" fillId="0" borderId="10" xfId="5" applyNumberFormat="1" applyFont="1" applyFill="1" applyBorder="1" applyAlignment="1" applyProtection="1">
      <alignment horizontal="right" vertical="center"/>
    </xf>
    <xf numFmtId="0" fontId="6" fillId="0" borderId="7" xfId="5" applyNumberFormat="1" applyFont="1" applyFill="1" applyBorder="1" applyAlignment="1" applyProtection="1">
      <alignment horizontal="right" vertical="center"/>
    </xf>
    <xf numFmtId="0" fontId="6" fillId="0" borderId="11" xfId="5" applyNumberFormat="1" applyFont="1" applyFill="1" applyBorder="1" applyAlignment="1" applyProtection="1">
      <alignment horizontal="right" vertical="center"/>
    </xf>
    <xf numFmtId="0" fontId="6" fillId="0" borderId="10" xfId="5" applyNumberFormat="1" applyFont="1" applyFill="1" applyBorder="1" applyAlignment="1" applyProtection="1">
      <alignment horizontal="center" vertical="center"/>
    </xf>
    <xf numFmtId="0" fontId="6" fillId="0" borderId="11" xfId="5" applyNumberFormat="1" applyFont="1" applyFill="1" applyBorder="1" applyAlignment="1" applyProtection="1">
      <alignment horizontal="center" vertical="center"/>
    </xf>
    <xf numFmtId="182" fontId="6" fillId="0" borderId="10" xfId="5" applyNumberFormat="1" applyFont="1" applyFill="1" applyBorder="1" applyAlignment="1" applyProtection="1">
      <alignment horizontal="center" vertical="center"/>
    </xf>
    <xf numFmtId="182" fontId="6" fillId="0" borderId="7" xfId="5" applyNumberFormat="1" applyFont="1" applyFill="1" applyBorder="1" applyAlignment="1" applyProtection="1">
      <alignment horizontal="center" vertical="center"/>
    </xf>
    <xf numFmtId="182" fontId="6" fillId="0" borderId="11" xfId="5" applyNumberFormat="1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left" vertical="center"/>
    </xf>
    <xf numFmtId="0" fontId="18" fillId="0" borderId="7" xfId="0" applyFont="1" applyFill="1" applyBorder="1" applyAlignment="1" applyProtection="1">
      <alignment horizontal="left" vertical="center"/>
    </xf>
    <xf numFmtId="187" fontId="1" fillId="0" borderId="0" xfId="5" applyNumberFormat="1" applyFont="1" applyAlignment="1" applyProtection="1">
      <alignment horizontal="left" vertical="center"/>
    </xf>
    <xf numFmtId="0" fontId="22" fillId="0" borderId="0" xfId="2">
      <alignment vertical="center"/>
    </xf>
    <xf numFmtId="0" fontId="0" fillId="0" borderId="0" xfId="0" applyAlignment="1">
      <alignment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9" xfId="1" applyNumberFormat="1" applyFont="1" applyFill="1" applyBorder="1" applyAlignment="1" applyProtection="1">
      <alignment horizontal="left" vertical="center"/>
    </xf>
    <xf numFmtId="0" fontId="5" fillId="0" borderId="9" xfId="1" applyNumberFormat="1" applyFont="1" applyFill="1" applyBorder="1" applyAlignment="1" applyProtection="1">
      <alignment horizontal="left" vertical="center" wrapText="1"/>
    </xf>
    <xf numFmtId="180" fontId="5" fillId="0" borderId="0" xfId="17" applyNumberFormat="1" applyFont="1" applyFill="1" applyBorder="1" applyAlignment="1" applyProtection="1">
      <alignment horizontal="left" vertical="center"/>
    </xf>
    <xf numFmtId="0" fontId="5" fillId="0" borderId="0" xfId="17" applyNumberFormat="1" applyFont="1" applyFill="1" applyBorder="1" applyAlignment="1" applyProtection="1">
      <alignment horizontal="left" vertical="center"/>
    </xf>
    <xf numFmtId="0" fontId="5" fillId="0" borderId="8" xfId="5" applyNumberFormat="1" applyFont="1" applyFill="1" applyBorder="1" applyAlignment="1" applyProtection="1">
      <alignment horizontal="center" vertical="center" wrapText="1"/>
    </xf>
    <xf numFmtId="0" fontId="5" fillId="0" borderId="8" xfId="5" applyNumberFormat="1" applyFont="1" applyFill="1" applyBorder="1" applyAlignment="1" applyProtection="1">
      <alignment horizontal="left" vertical="center" wrapText="1" shrinkToFit="1"/>
    </xf>
    <xf numFmtId="0" fontId="6" fillId="0" borderId="7" xfId="5" applyNumberFormat="1" applyFont="1" applyFill="1" applyBorder="1" applyAlignment="1" applyProtection="1">
      <alignment horizontal="center" vertical="center"/>
    </xf>
    <xf numFmtId="176" fontId="6" fillId="0" borderId="10" xfId="5" applyNumberFormat="1" applyFont="1" applyFill="1" applyBorder="1" applyAlignment="1" applyProtection="1">
      <alignment horizontal="center" vertical="center"/>
    </xf>
    <xf numFmtId="176" fontId="6" fillId="0" borderId="7" xfId="5" applyNumberFormat="1" applyFont="1" applyFill="1" applyBorder="1" applyAlignment="1" applyProtection="1">
      <alignment horizontal="center" vertical="center"/>
    </xf>
    <xf numFmtId="176" fontId="6" fillId="0" borderId="11" xfId="5" applyNumberFormat="1" applyFont="1" applyFill="1" applyBorder="1" applyAlignment="1" applyProtection="1">
      <alignment horizontal="center" vertical="center"/>
    </xf>
    <xf numFmtId="0" fontId="8" fillId="0" borderId="0" xfId="2" applyNumberFormat="1" applyFont="1" applyFill="1" applyBorder="1" applyAlignment="1" applyProtection="1">
      <alignment horizontal="left" vertical="center"/>
    </xf>
    <xf numFmtId="0" fontId="5" fillId="0" borderId="8" xfId="17" applyNumberFormat="1" applyFont="1" applyFill="1" applyBorder="1" applyAlignment="1">
      <alignment horizontal="center" vertical="center" wrapText="1"/>
    </xf>
    <xf numFmtId="0" fontId="5" fillId="0" borderId="1" xfId="17" applyNumberFormat="1" applyFont="1" applyFill="1" applyBorder="1" applyAlignment="1">
      <alignment horizontal="left" vertical="center" wrapText="1" shrinkToFit="1"/>
    </xf>
    <xf numFmtId="0" fontId="5" fillId="0" borderId="9" xfId="17" applyNumberFormat="1" applyFont="1" applyFill="1" applyBorder="1" applyAlignment="1">
      <alignment horizontal="left" vertical="center" wrapText="1" shrinkToFit="1"/>
    </xf>
    <xf numFmtId="0" fontId="5" fillId="0" borderId="2" xfId="17" applyNumberFormat="1" applyFont="1" applyFill="1" applyBorder="1" applyAlignment="1">
      <alignment horizontal="left" vertical="center" wrapText="1" shrinkToFit="1"/>
    </xf>
    <xf numFmtId="0" fontId="5" fillId="0" borderId="3" xfId="17" applyNumberFormat="1" applyFont="1" applyFill="1" applyBorder="1" applyAlignment="1">
      <alignment horizontal="left" vertical="center" wrapText="1" shrinkToFit="1"/>
    </xf>
    <xf numFmtId="0" fontId="5" fillId="0" borderId="0" xfId="17" applyNumberFormat="1" applyFont="1" applyFill="1" applyBorder="1" applyAlignment="1">
      <alignment horizontal="left" vertical="center" wrapText="1" shrinkToFit="1"/>
    </xf>
    <xf numFmtId="0" fontId="5" fillId="0" borderId="4" xfId="17" applyNumberFormat="1" applyFont="1" applyFill="1" applyBorder="1" applyAlignment="1">
      <alignment horizontal="left" vertical="center" wrapText="1" shrinkToFit="1"/>
    </xf>
    <xf numFmtId="0" fontId="5" fillId="0" borderId="5" xfId="17" applyNumberFormat="1" applyFont="1" applyFill="1" applyBorder="1" applyAlignment="1">
      <alignment horizontal="left" vertical="center" wrapText="1" shrinkToFit="1"/>
    </xf>
    <xf numFmtId="0" fontId="5" fillId="0" borderId="15" xfId="17" applyNumberFormat="1" applyFont="1" applyFill="1" applyBorder="1" applyAlignment="1">
      <alignment horizontal="left" vertical="center" wrapText="1" shrinkToFit="1"/>
    </xf>
    <xf numFmtId="0" fontId="5" fillId="0" borderId="6" xfId="17" applyNumberFormat="1" applyFont="1" applyFill="1" applyBorder="1" applyAlignment="1">
      <alignment horizontal="left" vertical="center" wrapText="1" shrinkToFit="1"/>
    </xf>
    <xf numFmtId="0" fontId="1" fillId="0" borderId="10" xfId="5" applyFont="1" applyBorder="1" applyAlignment="1">
      <alignment horizontal="center"/>
    </xf>
    <xf numFmtId="0" fontId="1" fillId="0" borderId="11" xfId="5" applyFont="1" applyBorder="1" applyAlignment="1">
      <alignment horizontal="center"/>
    </xf>
    <xf numFmtId="0" fontId="6" fillId="0" borderId="8" xfId="17" applyNumberFormat="1" applyFont="1" applyFill="1" applyBorder="1" applyAlignment="1">
      <alignment horizontal="right" vertical="center"/>
    </xf>
    <xf numFmtId="0" fontId="6" fillId="0" borderId="8" xfId="17" applyNumberFormat="1" applyFont="1" applyFill="1" applyBorder="1" applyAlignment="1">
      <alignment horizontal="center" vertical="center"/>
    </xf>
    <xf numFmtId="40" fontId="6" fillId="0" borderId="8" xfId="17" applyNumberFormat="1" applyFont="1" applyFill="1" applyBorder="1" applyAlignment="1">
      <alignment horizontal="center" vertical="center"/>
    </xf>
    <xf numFmtId="176" fontId="6" fillId="0" borderId="8" xfId="17" applyNumberFormat="1" applyFont="1" applyFill="1" applyBorder="1" applyAlignment="1">
      <alignment horizontal="center" vertical="center"/>
    </xf>
    <xf numFmtId="0" fontId="7" fillId="0" borderId="9" xfId="5" applyFont="1" applyBorder="1" applyAlignment="1">
      <alignment horizontal="right" vertical="center"/>
    </xf>
    <xf numFmtId="0" fontId="1" fillId="0" borderId="10" xfId="5" applyFont="1" applyBorder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" fillId="0" borderId="11" xfId="5" applyFont="1" applyBorder="1" applyAlignment="1">
      <alignment horizontal="center" vertical="center"/>
    </xf>
    <xf numFmtId="0" fontId="6" fillId="0" borderId="10" xfId="17" applyNumberFormat="1" applyFont="1" applyFill="1" applyBorder="1" applyAlignment="1">
      <alignment horizontal="right" vertical="center"/>
    </xf>
    <xf numFmtId="0" fontId="6" fillId="0" borderId="7" xfId="17" applyNumberFormat="1" applyFont="1" applyFill="1" applyBorder="1" applyAlignment="1">
      <alignment horizontal="right" vertical="center"/>
    </xf>
    <xf numFmtId="0" fontId="6" fillId="0" borderId="11" xfId="17" applyNumberFormat="1" applyFont="1" applyFill="1" applyBorder="1" applyAlignment="1">
      <alignment horizontal="right" vertical="center"/>
    </xf>
    <xf numFmtId="0" fontId="6" fillId="0" borderId="10" xfId="17" applyNumberFormat="1" applyFont="1" applyFill="1" applyBorder="1" applyAlignment="1">
      <alignment horizontal="center" vertical="center"/>
    </xf>
    <xf numFmtId="0" fontId="6" fillId="0" borderId="11" xfId="17" applyNumberFormat="1" applyFont="1" applyFill="1" applyBorder="1" applyAlignment="1">
      <alignment horizontal="center" vertical="center"/>
    </xf>
    <xf numFmtId="187" fontId="1" fillId="0" borderId="7" xfId="5" applyNumberFormat="1" applyFont="1" applyBorder="1" applyAlignment="1">
      <alignment horizontal="left"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6" fillId="0" borderId="8" xfId="5" applyNumberFormat="1" applyFont="1" applyFill="1" applyBorder="1" applyAlignment="1">
      <alignment horizontal="right" vertical="center"/>
    </xf>
    <xf numFmtId="176" fontId="6" fillId="0" borderId="8" xfId="5" applyNumberFormat="1" applyFont="1" applyFill="1" applyBorder="1" applyAlignment="1">
      <alignment horizontal="center" vertical="center"/>
    </xf>
    <xf numFmtId="0" fontId="5" fillId="0" borderId="8" xfId="5" applyNumberFormat="1" applyFont="1" applyFill="1" applyBorder="1" applyAlignment="1">
      <alignment horizontal="center" vertical="center" wrapText="1"/>
    </xf>
    <xf numFmtId="0" fontId="5" fillId="0" borderId="8" xfId="5" applyNumberFormat="1" applyFont="1" applyFill="1" applyBorder="1" applyAlignment="1">
      <alignment horizontal="left" vertical="top" wrapText="1" shrinkToFit="1"/>
    </xf>
    <xf numFmtId="0" fontId="6" fillId="0" borderId="8" xfId="5" applyNumberFormat="1" applyFont="1" applyFill="1" applyBorder="1" applyAlignment="1">
      <alignment horizontal="center" vertical="center"/>
    </xf>
    <xf numFmtId="180" fontId="6" fillId="0" borderId="8" xfId="5" applyNumberFormat="1" applyFont="1" applyFill="1" applyBorder="1" applyAlignment="1">
      <alignment horizontal="center" vertical="center"/>
    </xf>
    <xf numFmtId="0" fontId="30" fillId="0" borderId="0" xfId="0" applyFont="1" applyBorder="1" applyAlignment="1" applyProtection="1">
      <alignment horizontal="center" vertical="center" wrapText="1"/>
      <protection hidden="1"/>
    </xf>
    <xf numFmtId="180" fontId="2" fillId="0" borderId="0" xfId="0" applyNumberFormat="1" applyFont="1" applyFill="1" applyBorder="1" applyAlignment="1" applyProtection="1">
      <alignment horizontal="left" vertical="center"/>
    </xf>
    <xf numFmtId="187" fontId="2" fillId="0" borderId="0" xfId="0" applyNumberFormat="1" applyFont="1" applyFill="1" applyBorder="1" applyAlignment="1" applyProtection="1">
      <alignment horizontal="left" vertical="center"/>
    </xf>
    <xf numFmtId="14" fontId="1" fillId="0" borderId="0" xfId="0" applyNumberFormat="1" applyFont="1" applyAlignment="1" applyProtection="1">
      <alignment horizontal="left" vertical="center"/>
    </xf>
    <xf numFmtId="0" fontId="5" fillId="0" borderId="7" xfId="5" applyNumberFormat="1" applyFont="1" applyFill="1" applyBorder="1" applyAlignment="1">
      <alignment horizontal="left" vertical="center"/>
    </xf>
    <xf numFmtId="0" fontId="7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0" xfId="5" applyNumberFormat="1" applyFont="1" applyFill="1" applyBorder="1" applyAlignment="1">
      <alignment horizontal="right" vertical="center"/>
    </xf>
    <xf numFmtId="0" fontId="6" fillId="0" borderId="7" xfId="5" applyNumberFormat="1" applyFont="1" applyFill="1" applyBorder="1" applyAlignment="1">
      <alignment horizontal="right" vertical="center"/>
    </xf>
    <xf numFmtId="0" fontId="6" fillId="0" borderId="11" xfId="5" applyNumberFormat="1" applyFont="1" applyFill="1" applyBorder="1" applyAlignment="1">
      <alignment horizontal="right" vertical="center"/>
    </xf>
    <xf numFmtId="0" fontId="6" fillId="0" borderId="10" xfId="5" applyNumberFormat="1" applyFont="1" applyFill="1" applyBorder="1" applyAlignment="1">
      <alignment horizontal="center" vertical="center"/>
    </xf>
    <xf numFmtId="0" fontId="6" fillId="0" borderId="11" xfId="5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6" fontId="6" fillId="0" borderId="10" xfId="5" applyNumberFormat="1" applyFont="1" applyFill="1" applyBorder="1" applyAlignment="1">
      <alignment horizontal="center" vertical="center"/>
    </xf>
    <xf numFmtId="176" fontId="6" fillId="0" borderId="7" xfId="5" applyNumberFormat="1" applyFont="1" applyFill="1" applyBorder="1" applyAlignment="1">
      <alignment horizontal="center" vertical="center"/>
    </xf>
    <xf numFmtId="176" fontId="6" fillId="0" borderId="11" xfId="5" applyNumberFormat="1" applyFont="1" applyFill="1" applyBorder="1" applyAlignment="1">
      <alignment horizontal="center" vertical="center"/>
    </xf>
    <xf numFmtId="0" fontId="5" fillId="0" borderId="12" xfId="5" applyNumberFormat="1" applyFont="1" applyFill="1" applyBorder="1" applyAlignment="1">
      <alignment horizontal="center" vertical="center" wrapText="1"/>
    </xf>
    <xf numFmtId="0" fontId="5" fillId="0" borderId="13" xfId="5" applyNumberFormat="1" applyFont="1" applyFill="1" applyBorder="1" applyAlignment="1">
      <alignment horizontal="center" vertical="center" wrapText="1"/>
    </xf>
    <xf numFmtId="0" fontId="5" fillId="0" borderId="14" xfId="5" applyNumberFormat="1" applyFont="1" applyFill="1" applyBorder="1" applyAlignment="1">
      <alignment horizontal="center" vertical="center" wrapText="1"/>
    </xf>
    <xf numFmtId="0" fontId="5" fillId="0" borderId="1" xfId="5" applyNumberFormat="1" applyFont="1" applyFill="1" applyBorder="1" applyAlignment="1">
      <alignment horizontal="left" vertical="top" wrapText="1" shrinkToFit="1"/>
    </xf>
    <xf numFmtId="0" fontId="5" fillId="0" borderId="9" xfId="5" applyNumberFormat="1" applyFont="1" applyFill="1" applyBorder="1" applyAlignment="1">
      <alignment horizontal="left" vertical="top" wrapText="1" shrinkToFit="1"/>
    </xf>
    <xf numFmtId="0" fontId="5" fillId="0" borderId="2" xfId="5" applyNumberFormat="1" applyFont="1" applyFill="1" applyBorder="1" applyAlignment="1">
      <alignment horizontal="left" vertical="top" wrapText="1" shrinkToFit="1"/>
    </xf>
    <xf numFmtId="0" fontId="5" fillId="0" borderId="3" xfId="5" applyNumberFormat="1" applyFont="1" applyFill="1" applyBorder="1" applyAlignment="1">
      <alignment horizontal="left" vertical="top" wrapText="1" shrinkToFit="1"/>
    </xf>
    <xf numFmtId="0" fontId="5" fillId="0" borderId="0" xfId="5" applyNumberFormat="1" applyFont="1" applyFill="1" applyBorder="1" applyAlignment="1">
      <alignment horizontal="left" vertical="top" wrapText="1" shrinkToFit="1"/>
    </xf>
    <xf numFmtId="0" fontId="5" fillId="0" borderId="4" xfId="5" applyNumberFormat="1" applyFont="1" applyFill="1" applyBorder="1" applyAlignment="1">
      <alignment horizontal="left" vertical="top" wrapText="1" shrinkToFit="1"/>
    </xf>
    <xf numFmtId="0" fontId="5" fillId="0" borderId="5" xfId="5" applyNumberFormat="1" applyFont="1" applyFill="1" applyBorder="1" applyAlignment="1">
      <alignment horizontal="left" vertical="top" wrapText="1" shrinkToFit="1"/>
    </xf>
    <xf numFmtId="0" fontId="5" fillId="0" borderId="15" xfId="5" applyNumberFormat="1" applyFont="1" applyFill="1" applyBorder="1" applyAlignment="1">
      <alignment horizontal="left" vertical="top" wrapText="1" shrinkToFit="1"/>
    </xf>
    <xf numFmtId="0" fontId="5" fillId="0" borderId="6" xfId="5" applyNumberFormat="1" applyFont="1" applyFill="1" applyBorder="1" applyAlignment="1">
      <alignment horizontal="left" vertical="top" wrapText="1" shrinkToFit="1"/>
    </xf>
    <xf numFmtId="0" fontId="6" fillId="0" borderId="7" xfId="5" applyNumberFormat="1" applyFont="1" applyFill="1" applyBorder="1" applyAlignment="1">
      <alignment horizontal="center" vertical="center"/>
    </xf>
    <xf numFmtId="180" fontId="6" fillId="0" borderId="10" xfId="5" applyNumberFormat="1" applyFont="1" applyFill="1" applyBorder="1" applyAlignment="1">
      <alignment horizontal="center" vertical="center"/>
    </xf>
    <xf numFmtId="180" fontId="6" fillId="0" borderId="7" xfId="5" applyNumberFormat="1" applyFont="1" applyFill="1" applyBorder="1" applyAlignment="1">
      <alignment horizontal="center" vertical="center"/>
    </xf>
    <xf numFmtId="180" fontId="6" fillId="0" borderId="11" xfId="5" applyNumberFormat="1" applyFont="1" applyFill="1" applyBorder="1" applyAlignment="1">
      <alignment horizontal="center" vertical="center"/>
    </xf>
  </cellXfs>
  <cellStyles count="18">
    <cellStyle name="_ET_STYLE_NoName_00_" xfId="4"/>
    <cellStyle name="常规" xfId="0" builtinId="0"/>
    <cellStyle name="常规 10" xfId="16"/>
    <cellStyle name="常规 2" xfId="5"/>
    <cellStyle name="常规 2 2" xfId="17"/>
    <cellStyle name="常规 3" xfId="6"/>
    <cellStyle name="常规 3_高压报价明细表_11" xfId="1"/>
    <cellStyle name="常规 4" xfId="7"/>
    <cellStyle name="常规 5" xfId="9"/>
    <cellStyle name="常规 6" xfId="3"/>
    <cellStyle name="常规 7" xfId="12"/>
    <cellStyle name="常规 8" xfId="14"/>
    <cellStyle name="常规 9" xfId="15"/>
    <cellStyle name="常规_铜排" xfId="8"/>
    <cellStyle name="常规_主要部件报价明细表_23" xfId="10"/>
    <cellStyle name="超链接" xfId="2" builtinId="8"/>
    <cellStyle name="超链接 2" xfId="13"/>
    <cellStyle name="货币 2" xfId="1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/>
  <colors>
    <mruColors>
      <color rgb="FFFF5050"/>
      <color rgb="FFFB8C79"/>
      <color rgb="FFC7AFA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771525</xdr:rowOff>
    </xdr:from>
    <xdr:to>
      <xdr:col>6</xdr:col>
      <xdr:colOff>495300</xdr:colOff>
      <xdr:row>0</xdr:row>
      <xdr:rowOff>771525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1990725" y="771525"/>
          <a:ext cx="2981325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133350</xdr:rowOff>
    </xdr:from>
    <xdr:to>
      <xdr:col>2</xdr:col>
      <xdr:colOff>885825</xdr:colOff>
      <xdr:row>0</xdr:row>
      <xdr:rowOff>714375</xdr:rowOff>
    </xdr:to>
    <xdr:pic>
      <xdr:nvPicPr>
        <xdr:cNvPr id="6" name="图片 2" descr="0BRMO65T[XML{C5(%{~$U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771525</xdr:rowOff>
    </xdr:from>
    <xdr:to>
      <xdr:col>6</xdr:col>
      <xdr:colOff>495300</xdr:colOff>
      <xdr:row>0</xdr:row>
      <xdr:rowOff>771525</xdr:rowOff>
    </xdr:to>
    <xdr:sp macro="" textlink="">
      <xdr:nvSpPr>
        <xdr:cNvPr id="11" name="Line 1"/>
        <xdr:cNvSpPr>
          <a:spLocks noChangeShapeType="1"/>
        </xdr:cNvSpPr>
      </xdr:nvSpPr>
      <xdr:spPr bwMode="auto">
        <a:xfrm>
          <a:off x="1990725" y="771525"/>
          <a:ext cx="2981325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133350</xdr:rowOff>
    </xdr:from>
    <xdr:to>
      <xdr:col>2</xdr:col>
      <xdr:colOff>885825</xdr:colOff>
      <xdr:row>0</xdr:row>
      <xdr:rowOff>714375</xdr:rowOff>
    </xdr:to>
    <xdr:pic>
      <xdr:nvPicPr>
        <xdr:cNvPr id="15" name="图片 2" descr="0BRMO65T[XML{C5(%{~$U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714375</xdr:colOff>
      <xdr:row>58</xdr:row>
      <xdr:rowOff>771525</xdr:rowOff>
    </xdr:from>
    <xdr:to>
      <xdr:col>6</xdr:col>
      <xdr:colOff>495300</xdr:colOff>
      <xdr:row>58</xdr:row>
      <xdr:rowOff>771525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1990725" y="771525"/>
          <a:ext cx="2981325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0</xdr:colOff>
      <xdr:row>58</xdr:row>
      <xdr:rowOff>133350</xdr:rowOff>
    </xdr:from>
    <xdr:ext cx="1847850" cy="581025"/>
    <xdr:pic>
      <xdr:nvPicPr>
        <xdr:cNvPr id="18" name="图片 2" descr="0BRMO65T[XML{C5(%{~$U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3350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771525</xdr:rowOff>
    </xdr:from>
    <xdr:to>
      <xdr:col>6</xdr:col>
      <xdr:colOff>495300</xdr:colOff>
      <xdr:row>0</xdr:row>
      <xdr:rowOff>771525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1990725" y="771525"/>
          <a:ext cx="2981325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104775</xdr:rowOff>
    </xdr:from>
    <xdr:to>
      <xdr:col>2</xdr:col>
      <xdr:colOff>819150</xdr:colOff>
      <xdr:row>0</xdr:row>
      <xdr:rowOff>685800</xdr:rowOff>
    </xdr:to>
    <xdr:pic>
      <xdr:nvPicPr>
        <xdr:cNvPr id="11" name="图片 2" descr="0BRMO65T[XML{C5(%{~$U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771525</xdr:rowOff>
    </xdr:from>
    <xdr:to>
      <xdr:col>6</xdr:col>
      <xdr:colOff>495300</xdr:colOff>
      <xdr:row>0</xdr:row>
      <xdr:rowOff>771525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371725" y="771525"/>
          <a:ext cx="3067050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0</xdr:row>
      <xdr:rowOff>104775</xdr:rowOff>
    </xdr:from>
    <xdr:to>
      <xdr:col>2</xdr:col>
      <xdr:colOff>819150</xdr:colOff>
      <xdr:row>0</xdr:row>
      <xdr:rowOff>685800</xdr:rowOff>
    </xdr:to>
    <xdr:pic>
      <xdr:nvPicPr>
        <xdr:cNvPr id="7" name="图片 2" descr="0BRMO65T[XML{C5(%{~$U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njylh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cnjylh.com/" TargetMode="External"/><Relationship Id="rId1" Type="http://schemas.openxmlformats.org/officeDocument/2006/relationships/hyperlink" Target="http://www.chtianmei.com/" TargetMode="External"/><Relationship Id="rId4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cnjylh.com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cnjylh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99"/>
  <sheetViews>
    <sheetView workbookViewId="0">
      <pane ySplit="4" topLeftCell="A5" activePane="bottomLeft" state="frozen"/>
      <selection activeCell="J29" sqref="J29"/>
      <selection pane="bottomLeft" activeCell="D7" sqref="D7"/>
    </sheetView>
  </sheetViews>
  <sheetFormatPr defaultRowHeight="14.25" x14ac:dyDescent="0.2"/>
  <cols>
    <col min="1" max="1" width="3.5" style="361" customWidth="1"/>
    <col min="2" max="2" width="5" style="368" bestFit="1" customWidth="1"/>
    <col min="3" max="3" width="19.375" style="361" customWidth="1"/>
    <col min="4" max="4" width="24.625" style="361" customWidth="1"/>
    <col min="5" max="5" width="5.625" style="361" customWidth="1"/>
    <col min="6" max="6" width="22.375" style="361" customWidth="1"/>
    <col min="7" max="8" width="5.125" style="361" customWidth="1"/>
    <col min="9" max="10" width="12.625" style="361" customWidth="1"/>
    <col min="11" max="11" width="22.125" style="361" customWidth="1"/>
    <col min="12" max="12" width="5" style="361" customWidth="1"/>
    <col min="13" max="13" width="7.875" style="361" customWidth="1"/>
    <col min="14" max="14" width="5" style="361" customWidth="1"/>
    <col min="15" max="15" width="8" style="361" customWidth="1"/>
    <col min="16" max="16" width="4.125" style="361" customWidth="1"/>
    <col min="17" max="18" width="7" style="361" customWidth="1"/>
    <col min="19" max="16384" width="9" style="361"/>
  </cols>
  <sheetData>
    <row r="1" spans="1:18" s="23" customFormat="1" ht="16.5" customHeight="1" x14ac:dyDescent="0.2">
      <c r="A1" s="91"/>
      <c r="B1" s="346"/>
      <c r="C1" s="93"/>
      <c r="D1" s="93"/>
      <c r="E1" s="93"/>
      <c r="F1" s="93" t="s">
        <v>0</v>
      </c>
      <c r="G1" s="92"/>
      <c r="H1" s="92"/>
      <c r="I1" s="105" t="s">
        <v>1</v>
      </c>
      <c r="J1" s="106"/>
      <c r="K1" s="92"/>
      <c r="L1" s="347" t="s">
        <v>2765</v>
      </c>
      <c r="M1" s="347"/>
      <c r="N1" s="89"/>
      <c r="O1" s="89"/>
      <c r="Q1" s="139"/>
    </row>
    <row r="2" spans="1:18" s="23" customFormat="1" ht="16.5" customHeight="1" x14ac:dyDescent="0.15">
      <c r="A2" s="91"/>
      <c r="B2" s="391" t="s">
        <v>2</v>
      </c>
      <c r="C2" s="391"/>
      <c r="D2" s="391"/>
      <c r="E2" s="391"/>
      <c r="F2" s="391"/>
      <c r="G2" s="92"/>
      <c r="H2" s="92"/>
      <c r="I2" s="105" t="s">
        <v>1</v>
      </c>
      <c r="J2" s="106"/>
      <c r="K2" s="92"/>
      <c r="L2" s="347">
        <v>1</v>
      </c>
      <c r="M2" s="347"/>
      <c r="N2" s="107"/>
      <c r="O2" s="79"/>
      <c r="Q2" s="139"/>
    </row>
    <row r="3" spans="1:18" s="23" customFormat="1" ht="16.5" customHeight="1" x14ac:dyDescent="0.2">
      <c r="A3" s="91"/>
      <c r="B3" s="391" t="s">
        <v>2766</v>
      </c>
      <c r="C3" s="391"/>
      <c r="D3" s="391"/>
      <c r="E3" s="345" t="s">
        <v>3</v>
      </c>
      <c r="F3" s="344"/>
      <c r="G3" s="392" t="s">
        <v>5</v>
      </c>
      <c r="H3" s="392"/>
      <c r="I3" s="393" t="s">
        <v>6</v>
      </c>
      <c r="J3" s="393"/>
      <c r="K3" s="92" t="s">
        <v>7</v>
      </c>
      <c r="L3" s="108"/>
      <c r="M3" s="80"/>
      <c r="N3" s="109"/>
      <c r="O3" s="80"/>
      <c r="Q3" s="139"/>
    </row>
    <row r="4" spans="1:18" s="23" customFormat="1" ht="16.5" customHeight="1" x14ac:dyDescent="0.2">
      <c r="A4" s="83"/>
      <c r="B4" s="348"/>
      <c r="C4" s="85"/>
      <c r="D4" s="27"/>
      <c r="E4" s="27"/>
      <c r="F4" s="85"/>
      <c r="G4" s="27"/>
      <c r="H4" s="27"/>
      <c r="I4" s="86"/>
      <c r="J4" s="87"/>
      <c r="K4" s="88"/>
      <c r="L4" s="108"/>
      <c r="M4" s="80"/>
      <c r="N4" s="109"/>
      <c r="O4" s="80"/>
      <c r="Q4" s="139"/>
    </row>
    <row r="5" spans="1:18" s="30" customFormat="1" ht="16.5" customHeight="1" x14ac:dyDescent="0.2">
      <c r="A5" s="83" t="s">
        <v>2767</v>
      </c>
      <c r="B5" s="94" t="s">
        <v>8</v>
      </c>
      <c r="C5" s="94" t="s">
        <v>9</v>
      </c>
      <c r="D5" s="95" t="s">
        <v>10</v>
      </c>
      <c r="E5" s="95" t="s">
        <v>11</v>
      </c>
      <c r="F5" s="96" t="s">
        <v>12</v>
      </c>
      <c r="G5" s="94" t="s">
        <v>13</v>
      </c>
      <c r="H5" s="94" t="s">
        <v>14</v>
      </c>
      <c r="I5" s="110" t="s">
        <v>15</v>
      </c>
      <c r="J5" s="111" t="s">
        <v>16</v>
      </c>
      <c r="K5" s="112" t="s">
        <v>17</v>
      </c>
      <c r="L5" s="113" t="s">
        <v>18</v>
      </c>
      <c r="M5" s="114" t="s">
        <v>19</v>
      </c>
      <c r="N5" s="114" t="s">
        <v>20</v>
      </c>
      <c r="O5" s="114" t="s">
        <v>21</v>
      </c>
      <c r="P5" s="349"/>
      <c r="Q5" s="90"/>
    </row>
    <row r="6" spans="1:18" ht="16.5" customHeight="1" x14ac:dyDescent="0.2">
      <c r="A6" s="83" t="s">
        <v>2768</v>
      </c>
      <c r="B6" s="350">
        <f>COUNTIF(L$1:L6,"#")</f>
        <v>1</v>
      </c>
      <c r="C6" s="351" t="s">
        <v>2769</v>
      </c>
      <c r="D6" s="352" t="s">
        <v>2770</v>
      </c>
      <c r="E6" s="353" t="s">
        <v>22</v>
      </c>
      <c r="F6" s="353" t="s">
        <v>3261</v>
      </c>
      <c r="G6" s="353" t="s">
        <v>23</v>
      </c>
      <c r="H6" s="353">
        <v>1</v>
      </c>
      <c r="I6" s="354">
        <f>SUMIF(Q7:Q422,B6,J7:J422)</f>
        <v>22.408660000000001</v>
      </c>
      <c r="J6" s="355">
        <f>IFERROR(I6*H6,"")</f>
        <v>22.408660000000001</v>
      </c>
      <c r="K6" s="356" t="s">
        <v>2771</v>
      </c>
      <c r="L6" s="357" t="s">
        <v>2772</v>
      </c>
      <c r="M6" s="358"/>
      <c r="N6" s="358"/>
      <c r="O6" s="358"/>
      <c r="P6" s="359"/>
      <c r="Q6" s="360"/>
      <c r="R6" s="30"/>
    </row>
    <row r="7" spans="1:18" ht="16.5" customHeight="1" x14ac:dyDescent="0.15">
      <c r="A7" s="97">
        <f>COUNTIF(L$1:L7,"!")</f>
        <v>1</v>
      </c>
      <c r="B7" s="32" t="str">
        <f>COUNTIF(L$2:L8,"!")&amp;"."</f>
        <v>1.</v>
      </c>
      <c r="C7" s="47" t="s">
        <v>2773</v>
      </c>
      <c r="D7" s="35" t="s">
        <v>2774</v>
      </c>
      <c r="E7" s="99" t="s">
        <v>22</v>
      </c>
      <c r="F7" s="99" t="s">
        <v>3261</v>
      </c>
      <c r="G7" s="34" t="s">
        <v>23</v>
      </c>
      <c r="H7" s="98">
        <v>1</v>
      </c>
      <c r="I7" s="115">
        <f>LOOKUP(0,0/((A7:A129=A7)*(C7:C129="合计金额（单位完整货物单价）")),J7:J129)</f>
        <v>6.1341000000000001</v>
      </c>
      <c r="J7" s="116">
        <f>IFERROR(I7*H7,"")</f>
        <v>6.1341000000000001</v>
      </c>
      <c r="K7" s="34"/>
      <c r="L7" s="48" t="s">
        <v>24</v>
      </c>
      <c r="M7" s="49"/>
      <c r="N7" s="50"/>
      <c r="O7" s="362"/>
      <c r="P7" s="23"/>
      <c r="Q7" s="360">
        <f>COUNTIF(L$3:L7,"#")</f>
        <v>1</v>
      </c>
      <c r="R7" s="23"/>
    </row>
    <row r="8" spans="1:18" ht="16.5" customHeight="1" x14ac:dyDescent="0.2">
      <c r="A8" s="363">
        <f>COUNTIF(L$1:L8,"!")</f>
        <v>1</v>
      </c>
      <c r="B8" s="364" t="str">
        <f>A8&amp;"."&amp;COUNTIF(A$3:A8,A8)-1</f>
        <v>1.1</v>
      </c>
      <c r="C8" s="100" t="s">
        <v>2775</v>
      </c>
      <c r="D8" s="41" t="s">
        <v>2776</v>
      </c>
      <c r="E8" s="101" t="s">
        <v>22</v>
      </c>
      <c r="F8" s="101" t="s">
        <v>2777</v>
      </c>
      <c r="G8" s="41" t="s">
        <v>23</v>
      </c>
      <c r="H8" s="41">
        <v>1</v>
      </c>
      <c r="I8" s="117">
        <f>IFERROR(ROUND(L8*M8/10000,4),"")</f>
        <v>0.54379999999999995</v>
      </c>
      <c r="J8" s="117">
        <f t="shared" ref="J8:J22" si="0">IFERROR(I8*H8,"")</f>
        <v>0.54379999999999995</v>
      </c>
      <c r="K8" s="52"/>
      <c r="L8" s="53">
        <f t="shared" ref="L8:L22" si="1">L$2</f>
        <v>1</v>
      </c>
      <c r="M8" s="69">
        <f t="shared" ref="M8:M22" si="2">IFERROR(O8*N8,"")</f>
        <v>5438</v>
      </c>
      <c r="N8" s="55">
        <v>1</v>
      </c>
      <c r="O8" s="337">
        <v>5438</v>
      </c>
      <c r="P8" s="57" t="str">
        <f t="shared" ref="P8:P22" si="3">IF(_xlfn.ISFORMULA(O8),"","值")</f>
        <v>值</v>
      </c>
      <c r="Q8" s="90"/>
      <c r="R8" s="23"/>
    </row>
    <row r="9" spans="1:18" ht="16.5" customHeight="1" x14ac:dyDescent="0.2">
      <c r="A9" s="363">
        <f>COUNTIF(L$1:L9,"!")</f>
        <v>1</v>
      </c>
      <c r="B9" s="364" t="str">
        <f>A9&amp;"."&amp;COUNTIF(A$3:A9,A9)-1</f>
        <v>1.2</v>
      </c>
      <c r="C9" s="100" t="s">
        <v>2775</v>
      </c>
      <c r="D9" s="41" t="s">
        <v>2778</v>
      </c>
      <c r="E9" s="101" t="s">
        <v>22</v>
      </c>
      <c r="F9" s="101" t="s">
        <v>2777</v>
      </c>
      <c r="G9" s="41" t="s">
        <v>23</v>
      </c>
      <c r="H9" s="41">
        <v>2</v>
      </c>
      <c r="I9" s="117">
        <f t="shared" ref="I9:I22" si="4">IFERROR(ROUND(L9*M9/10000,4),"")</f>
        <v>0.82499999999999996</v>
      </c>
      <c r="J9" s="117">
        <f t="shared" si="0"/>
        <v>1.65</v>
      </c>
      <c r="K9" s="52"/>
      <c r="L9" s="53">
        <f t="shared" si="1"/>
        <v>1</v>
      </c>
      <c r="M9" s="69">
        <f t="shared" si="2"/>
        <v>8250</v>
      </c>
      <c r="N9" s="55">
        <v>1</v>
      </c>
      <c r="O9" s="337">
        <v>8250</v>
      </c>
      <c r="P9" s="57" t="str">
        <f t="shared" si="3"/>
        <v>值</v>
      </c>
      <c r="Q9" s="90"/>
      <c r="R9" s="23"/>
    </row>
    <row r="10" spans="1:18" ht="16.5" customHeight="1" x14ac:dyDescent="0.2">
      <c r="A10" s="363">
        <f>COUNTIF(L$1:L10,"!")</f>
        <v>1</v>
      </c>
      <c r="B10" s="364" t="str">
        <f>A10&amp;"."&amp;COUNTIF(A$3:A10,A10)-1</f>
        <v>1.3</v>
      </c>
      <c r="C10" s="100" t="s">
        <v>2779</v>
      </c>
      <c r="D10" s="41" t="s">
        <v>2780</v>
      </c>
      <c r="E10" s="101" t="s">
        <v>22</v>
      </c>
      <c r="F10" s="101" t="s">
        <v>2777</v>
      </c>
      <c r="G10" s="41" t="s">
        <v>48</v>
      </c>
      <c r="H10" s="41">
        <v>3</v>
      </c>
      <c r="I10" s="117">
        <f t="shared" si="4"/>
        <v>0.125</v>
      </c>
      <c r="J10" s="117">
        <f t="shared" si="0"/>
        <v>0.375</v>
      </c>
      <c r="K10" s="52"/>
      <c r="L10" s="53">
        <f t="shared" si="1"/>
        <v>1</v>
      </c>
      <c r="M10" s="69">
        <f t="shared" si="2"/>
        <v>1250</v>
      </c>
      <c r="N10" s="55">
        <v>1</v>
      </c>
      <c r="O10" s="337">
        <v>1250</v>
      </c>
      <c r="P10" s="57" t="str">
        <f t="shared" si="3"/>
        <v>值</v>
      </c>
      <c r="Q10" s="23"/>
      <c r="R10" s="23"/>
    </row>
    <row r="11" spans="1:18" ht="16.5" customHeight="1" x14ac:dyDescent="0.2">
      <c r="A11" s="363">
        <f>COUNTIF(L$1:L11,"!")</f>
        <v>1</v>
      </c>
      <c r="B11" s="364" t="str">
        <f>A11&amp;"."&amp;COUNTIF(A$3:A11,A11)-1</f>
        <v>1.4</v>
      </c>
      <c r="C11" s="100" t="s">
        <v>61</v>
      </c>
      <c r="D11" s="41" t="s">
        <v>2781</v>
      </c>
      <c r="E11" s="101" t="s">
        <v>2782</v>
      </c>
      <c r="F11" s="101" t="s">
        <v>2783</v>
      </c>
      <c r="G11" s="41" t="s">
        <v>29</v>
      </c>
      <c r="H11" s="41">
        <v>9</v>
      </c>
      <c r="I11" s="117">
        <f t="shared" si="4"/>
        <v>4.7500000000000001E-2</v>
      </c>
      <c r="J11" s="117">
        <f t="shared" si="0"/>
        <v>0.42749999999999999</v>
      </c>
      <c r="K11" s="52"/>
      <c r="L11" s="53">
        <f t="shared" si="1"/>
        <v>1</v>
      </c>
      <c r="M11" s="69">
        <f t="shared" si="2"/>
        <v>475</v>
      </c>
      <c r="N11" s="55">
        <v>1</v>
      </c>
      <c r="O11" s="337">
        <v>475</v>
      </c>
      <c r="P11" s="57" t="str">
        <f t="shared" si="3"/>
        <v>值</v>
      </c>
      <c r="Q11" s="23"/>
      <c r="R11" s="23"/>
    </row>
    <row r="12" spans="1:18" ht="16.5" customHeight="1" x14ac:dyDescent="0.2">
      <c r="A12" s="363">
        <f>COUNTIF(L$1:L12,"!")</f>
        <v>1</v>
      </c>
      <c r="B12" s="364" t="str">
        <f>A12&amp;"."&amp;COUNTIF(A$3:A12,A12)-1</f>
        <v>1.5</v>
      </c>
      <c r="C12" s="100" t="s">
        <v>160</v>
      </c>
      <c r="D12" s="41" t="s">
        <v>2784</v>
      </c>
      <c r="E12" s="101" t="s">
        <v>2785</v>
      </c>
      <c r="F12" s="101" t="s">
        <v>2786</v>
      </c>
      <c r="G12" s="41" t="s">
        <v>48</v>
      </c>
      <c r="H12" s="41">
        <v>3</v>
      </c>
      <c r="I12" s="117">
        <f t="shared" si="4"/>
        <v>6.88E-2</v>
      </c>
      <c r="J12" s="117">
        <f t="shared" si="0"/>
        <v>0.2064</v>
      </c>
      <c r="K12" s="52"/>
      <c r="L12" s="53">
        <f t="shared" si="1"/>
        <v>1</v>
      </c>
      <c r="M12" s="69">
        <f t="shared" si="2"/>
        <v>688</v>
      </c>
      <c r="N12" s="55">
        <v>1</v>
      </c>
      <c r="O12" s="337">
        <v>688</v>
      </c>
      <c r="P12" s="57" t="str">
        <f t="shared" si="3"/>
        <v>值</v>
      </c>
      <c r="Q12" s="23"/>
      <c r="R12" s="23"/>
    </row>
    <row r="13" spans="1:18" ht="16.5" customHeight="1" x14ac:dyDescent="0.2">
      <c r="A13" s="363">
        <f>COUNTIF(L$1:L13,"!")</f>
        <v>1</v>
      </c>
      <c r="B13" s="364" t="str">
        <f>A13&amp;"."&amp;COUNTIF(A$3:A13,A13)-1</f>
        <v>1.6</v>
      </c>
      <c r="C13" s="100" t="s">
        <v>2787</v>
      </c>
      <c r="D13" s="41" t="s">
        <v>2788</v>
      </c>
      <c r="E13" s="101" t="s">
        <v>2789</v>
      </c>
      <c r="F13" s="101" t="s">
        <v>2790</v>
      </c>
      <c r="G13" s="41" t="s">
        <v>134</v>
      </c>
      <c r="H13" s="41">
        <v>3</v>
      </c>
      <c r="I13" s="117">
        <f t="shared" si="4"/>
        <v>0.05</v>
      </c>
      <c r="J13" s="117">
        <f t="shared" si="0"/>
        <v>0.15000000000000002</v>
      </c>
      <c r="K13" s="52"/>
      <c r="L13" s="53">
        <f t="shared" si="1"/>
        <v>1</v>
      </c>
      <c r="M13" s="69">
        <f t="shared" si="2"/>
        <v>500</v>
      </c>
      <c r="N13" s="55">
        <v>1</v>
      </c>
      <c r="O13" s="337">
        <v>500</v>
      </c>
      <c r="P13" s="57" t="str">
        <f t="shared" si="3"/>
        <v>值</v>
      </c>
      <c r="Q13" s="23"/>
      <c r="R13" s="23"/>
    </row>
    <row r="14" spans="1:18" ht="16.5" customHeight="1" x14ac:dyDescent="0.2">
      <c r="A14" s="363">
        <f>COUNTIF(L$1:L14,"!")</f>
        <v>1</v>
      </c>
      <c r="B14" s="364" t="str">
        <f>A14&amp;"."&amp;COUNTIF(A$3:A14,A14)-1</f>
        <v>1.7</v>
      </c>
      <c r="C14" s="100" t="s">
        <v>162</v>
      </c>
      <c r="D14" s="102" t="s">
        <v>2791</v>
      </c>
      <c r="E14" s="101" t="s">
        <v>2792</v>
      </c>
      <c r="F14" s="101" t="s">
        <v>2790</v>
      </c>
      <c r="G14" s="41" t="s">
        <v>134</v>
      </c>
      <c r="H14" s="41">
        <v>1</v>
      </c>
      <c r="I14" s="117">
        <f t="shared" si="4"/>
        <v>7.7499999999999999E-2</v>
      </c>
      <c r="J14" s="117">
        <f t="shared" si="0"/>
        <v>7.7499999999999999E-2</v>
      </c>
      <c r="K14" s="52"/>
      <c r="L14" s="53">
        <f t="shared" si="1"/>
        <v>1</v>
      </c>
      <c r="M14" s="69">
        <f t="shared" si="2"/>
        <v>775</v>
      </c>
      <c r="N14" s="55">
        <v>1</v>
      </c>
      <c r="O14" s="337">
        <v>775</v>
      </c>
      <c r="P14" s="57" t="str">
        <f t="shared" si="3"/>
        <v>值</v>
      </c>
      <c r="Q14" s="23"/>
      <c r="R14" s="23"/>
    </row>
    <row r="15" spans="1:18" ht="16.5" customHeight="1" x14ac:dyDescent="0.2">
      <c r="A15" s="363">
        <f>COUNTIF(L$1:L15,"!")</f>
        <v>1</v>
      </c>
      <c r="B15" s="364" t="str">
        <f>A15&amp;"."&amp;COUNTIF(A$3:A15,A15)-1</f>
        <v>1.8</v>
      </c>
      <c r="C15" s="100" t="s">
        <v>2793</v>
      </c>
      <c r="D15" s="41" t="s">
        <v>2794</v>
      </c>
      <c r="E15" s="101" t="s">
        <v>2789</v>
      </c>
      <c r="F15" s="101" t="s">
        <v>2790</v>
      </c>
      <c r="G15" s="41" t="s">
        <v>134</v>
      </c>
      <c r="H15" s="41">
        <v>3</v>
      </c>
      <c r="I15" s="117">
        <f t="shared" si="4"/>
        <v>2.5000000000000001E-2</v>
      </c>
      <c r="J15" s="117">
        <f t="shared" si="0"/>
        <v>7.5000000000000011E-2</v>
      </c>
      <c r="K15" s="52"/>
      <c r="L15" s="53">
        <f t="shared" si="1"/>
        <v>1</v>
      </c>
      <c r="M15" s="69">
        <f t="shared" si="2"/>
        <v>250</v>
      </c>
      <c r="N15" s="55">
        <v>1</v>
      </c>
      <c r="O15" s="337">
        <v>250</v>
      </c>
      <c r="P15" s="57" t="str">
        <f t="shared" si="3"/>
        <v>值</v>
      </c>
      <c r="Q15" s="23"/>
      <c r="R15" s="23"/>
    </row>
    <row r="16" spans="1:18" ht="16.5" customHeight="1" x14ac:dyDescent="0.2">
      <c r="A16" s="363">
        <f>COUNTIF(L$1:L16,"!")</f>
        <v>1</v>
      </c>
      <c r="B16" s="364" t="str">
        <f>A16&amp;"."&amp;COUNTIF(A$3:A16,A16)-1</f>
        <v>1.9</v>
      </c>
      <c r="C16" s="100" t="s">
        <v>2795</v>
      </c>
      <c r="D16" s="41" t="s">
        <v>2796</v>
      </c>
      <c r="E16" s="101" t="s">
        <v>2797</v>
      </c>
      <c r="F16" s="101" t="s">
        <v>2798</v>
      </c>
      <c r="G16" s="41" t="s">
        <v>23</v>
      </c>
      <c r="H16" s="41">
        <v>1</v>
      </c>
      <c r="I16" s="117">
        <f t="shared" si="4"/>
        <v>0.15</v>
      </c>
      <c r="J16" s="117">
        <f t="shared" si="0"/>
        <v>0.15</v>
      </c>
      <c r="K16" s="52"/>
      <c r="L16" s="53">
        <f t="shared" si="1"/>
        <v>1</v>
      </c>
      <c r="M16" s="69">
        <f t="shared" si="2"/>
        <v>1500</v>
      </c>
      <c r="N16" s="55">
        <v>1</v>
      </c>
      <c r="O16" s="337">
        <v>1500</v>
      </c>
      <c r="P16" s="57" t="str">
        <f t="shared" si="3"/>
        <v>值</v>
      </c>
      <c r="Q16" s="23"/>
      <c r="R16" s="23"/>
    </row>
    <row r="17" spans="1:18" ht="16.5" customHeight="1" x14ac:dyDescent="0.2">
      <c r="A17" s="363">
        <f>COUNTIF(L$1:L17,"!")</f>
        <v>1</v>
      </c>
      <c r="B17" s="364" t="str">
        <f>A17&amp;"."&amp;COUNTIF(A$3:A17,A17)-1</f>
        <v>1.10</v>
      </c>
      <c r="C17" s="100" t="s">
        <v>2799</v>
      </c>
      <c r="D17" s="102"/>
      <c r="E17" s="101" t="s">
        <v>2800</v>
      </c>
      <c r="F17" s="101" t="s">
        <v>2801</v>
      </c>
      <c r="G17" s="41" t="s">
        <v>29</v>
      </c>
      <c r="H17" s="41">
        <v>1</v>
      </c>
      <c r="I17" s="117">
        <f t="shared" si="4"/>
        <v>0.06</v>
      </c>
      <c r="J17" s="117">
        <f t="shared" si="0"/>
        <v>0.06</v>
      </c>
      <c r="K17" s="52"/>
      <c r="L17" s="53">
        <f t="shared" si="1"/>
        <v>1</v>
      </c>
      <c r="M17" s="69">
        <f t="shared" si="2"/>
        <v>600</v>
      </c>
      <c r="N17" s="55">
        <v>1</v>
      </c>
      <c r="O17" s="337">
        <v>600</v>
      </c>
      <c r="P17" s="57" t="str">
        <f t="shared" si="3"/>
        <v>值</v>
      </c>
      <c r="Q17" s="23"/>
      <c r="R17" s="23"/>
    </row>
    <row r="18" spans="1:18" ht="16.5" customHeight="1" x14ac:dyDescent="0.2">
      <c r="A18" s="363">
        <f>COUNTIF(L$1:L18,"!")</f>
        <v>1</v>
      </c>
      <c r="B18" s="364" t="str">
        <f>A18&amp;"."&amp;COUNTIF(A$3:A18,A18)-1</f>
        <v>1.11</v>
      </c>
      <c r="C18" s="100" t="s">
        <v>2802</v>
      </c>
      <c r="D18" s="41" t="s">
        <v>2803</v>
      </c>
      <c r="E18" s="101" t="s">
        <v>22</v>
      </c>
      <c r="F18" s="101" t="s">
        <v>2804</v>
      </c>
      <c r="G18" s="41" t="s">
        <v>48</v>
      </c>
      <c r="H18" s="41">
        <v>3</v>
      </c>
      <c r="I18" s="117">
        <f t="shared" si="4"/>
        <v>1.2500000000000001E-2</v>
      </c>
      <c r="J18" s="117">
        <f t="shared" si="0"/>
        <v>3.7500000000000006E-2</v>
      </c>
      <c r="K18" s="52"/>
      <c r="L18" s="53">
        <f t="shared" si="1"/>
        <v>1</v>
      </c>
      <c r="M18" s="69">
        <f t="shared" si="2"/>
        <v>125</v>
      </c>
      <c r="N18" s="55">
        <v>1</v>
      </c>
      <c r="O18" s="56">
        <v>125</v>
      </c>
      <c r="P18" s="57" t="str">
        <f t="shared" si="3"/>
        <v>值</v>
      </c>
      <c r="Q18" s="59"/>
      <c r="R18" s="23"/>
    </row>
    <row r="19" spans="1:18" ht="16.5" customHeight="1" x14ac:dyDescent="0.2">
      <c r="A19" s="363">
        <f>COUNTIF(L$1:L19,"!")</f>
        <v>1</v>
      </c>
      <c r="B19" s="364" t="str">
        <f>A19&amp;"."&amp;COUNTIF(A$3:A19,A19)-1</f>
        <v>1.12</v>
      </c>
      <c r="C19" s="100" t="s">
        <v>97</v>
      </c>
      <c r="D19" s="41"/>
      <c r="E19" s="101" t="s">
        <v>22</v>
      </c>
      <c r="F19" s="101" t="s">
        <v>2805</v>
      </c>
      <c r="G19" s="41" t="s">
        <v>2806</v>
      </c>
      <c r="H19" s="41">
        <v>3</v>
      </c>
      <c r="I19" s="117">
        <f t="shared" si="4"/>
        <v>6.3E-3</v>
      </c>
      <c r="J19" s="117">
        <f t="shared" si="0"/>
        <v>1.89E-2</v>
      </c>
      <c r="K19" s="52"/>
      <c r="L19" s="53">
        <f t="shared" si="1"/>
        <v>1</v>
      </c>
      <c r="M19" s="69">
        <f t="shared" si="2"/>
        <v>63</v>
      </c>
      <c r="N19" s="55">
        <v>1</v>
      </c>
      <c r="O19" s="56">
        <v>63</v>
      </c>
      <c r="P19" s="57" t="str">
        <f t="shared" si="3"/>
        <v>值</v>
      </c>
      <c r="Q19" s="59"/>
      <c r="R19" s="23"/>
    </row>
    <row r="20" spans="1:18" ht="16.5" customHeight="1" x14ac:dyDescent="0.2">
      <c r="A20" s="363">
        <f>COUNTIF(L$1:L20,"!")</f>
        <v>1</v>
      </c>
      <c r="B20" s="364" t="str">
        <f>A20&amp;"."&amp;COUNTIF(A$3:A20,A20)-1</f>
        <v>1.13</v>
      </c>
      <c r="C20" s="100" t="s">
        <v>2807</v>
      </c>
      <c r="D20" s="41" t="s">
        <v>2808</v>
      </c>
      <c r="E20" s="101" t="s">
        <v>22</v>
      </c>
      <c r="F20" s="101" t="s">
        <v>3261</v>
      </c>
      <c r="G20" s="41" t="s">
        <v>23</v>
      </c>
      <c r="H20" s="41">
        <v>3</v>
      </c>
      <c r="I20" s="117">
        <f t="shared" si="4"/>
        <v>2.5000000000000001E-2</v>
      </c>
      <c r="J20" s="117">
        <f t="shared" si="0"/>
        <v>7.5000000000000011E-2</v>
      </c>
      <c r="K20" s="52"/>
      <c r="L20" s="53">
        <f t="shared" si="1"/>
        <v>1</v>
      </c>
      <c r="M20" s="69">
        <f t="shared" si="2"/>
        <v>250</v>
      </c>
      <c r="N20" s="55">
        <v>1</v>
      </c>
      <c r="O20" s="337">
        <v>250</v>
      </c>
      <c r="P20" s="57" t="str">
        <f t="shared" si="3"/>
        <v>值</v>
      </c>
      <c r="Q20" s="59"/>
      <c r="R20" s="23"/>
    </row>
    <row r="21" spans="1:18" ht="16.5" customHeight="1" x14ac:dyDescent="0.2">
      <c r="A21" s="363">
        <f>COUNTIF(L$1:L21,"!")</f>
        <v>1</v>
      </c>
      <c r="B21" s="364" t="str">
        <f>A21&amp;"."&amp;COUNTIF(A$3:A21,A21)-1</f>
        <v>1.14</v>
      </c>
      <c r="C21" s="100" t="s">
        <v>2809</v>
      </c>
      <c r="D21" s="41" t="s">
        <v>2810</v>
      </c>
      <c r="E21" s="101" t="s">
        <v>2785</v>
      </c>
      <c r="F21" s="101" t="s">
        <v>2811</v>
      </c>
      <c r="G21" s="41" t="s">
        <v>23</v>
      </c>
      <c r="H21" s="41">
        <v>1</v>
      </c>
      <c r="I21" s="117">
        <f t="shared" si="4"/>
        <v>2.25</v>
      </c>
      <c r="J21" s="117">
        <f t="shared" si="0"/>
        <v>2.25</v>
      </c>
      <c r="K21" s="52"/>
      <c r="L21" s="53">
        <f t="shared" si="1"/>
        <v>1</v>
      </c>
      <c r="M21" s="69">
        <f t="shared" si="2"/>
        <v>22500</v>
      </c>
      <c r="N21" s="55">
        <v>1</v>
      </c>
      <c r="O21" s="337">
        <v>22500</v>
      </c>
      <c r="P21" s="57" t="str">
        <f t="shared" si="3"/>
        <v>值</v>
      </c>
      <c r="Q21" s="59"/>
      <c r="R21" s="23"/>
    </row>
    <row r="22" spans="1:18" ht="16.5" customHeight="1" x14ac:dyDescent="0.2">
      <c r="A22" s="363">
        <f>COUNTIF(L$1:L22,"!")</f>
        <v>1</v>
      </c>
      <c r="B22" s="364" t="str">
        <f>A22&amp;"."&amp;COUNTIF(A$3:A22,A22)-1</f>
        <v>1.15</v>
      </c>
      <c r="C22" s="100" t="s">
        <v>51</v>
      </c>
      <c r="D22" s="41"/>
      <c r="E22" s="101"/>
      <c r="F22" s="101"/>
      <c r="G22" s="41" t="s">
        <v>2812</v>
      </c>
      <c r="H22" s="41">
        <v>1</v>
      </c>
      <c r="I22" s="117">
        <f t="shared" si="4"/>
        <v>3.7499999999999999E-2</v>
      </c>
      <c r="J22" s="117">
        <f t="shared" si="0"/>
        <v>3.7499999999999999E-2</v>
      </c>
      <c r="K22" s="52"/>
      <c r="L22" s="53">
        <f t="shared" si="1"/>
        <v>1</v>
      </c>
      <c r="M22" s="69">
        <f t="shared" si="2"/>
        <v>375</v>
      </c>
      <c r="N22" s="55">
        <v>1</v>
      </c>
      <c r="O22" s="337">
        <v>375</v>
      </c>
      <c r="P22" s="57" t="str">
        <f t="shared" si="3"/>
        <v>值</v>
      </c>
      <c r="Q22" s="23"/>
      <c r="R22" s="23"/>
    </row>
    <row r="23" spans="1:18" ht="27" customHeight="1" x14ac:dyDescent="0.2">
      <c r="A23" s="363">
        <f>COUNTIF(L$1:L23,"!")</f>
        <v>1</v>
      </c>
      <c r="B23" s="364" t="str">
        <f>A23&amp;"."&amp;COUNTIF(A$3:A23,A23)-1</f>
        <v>1.16</v>
      </c>
      <c r="C23" s="103" t="s">
        <v>53</v>
      </c>
      <c r="D23" s="104"/>
      <c r="E23" s="365"/>
      <c r="F23" s="101"/>
      <c r="G23" s="104"/>
      <c r="H23" s="104" t="s">
        <v>1</v>
      </c>
      <c r="I23" s="118" t="s">
        <v>52</v>
      </c>
      <c r="J23" s="366"/>
      <c r="K23" s="104"/>
      <c r="L23" s="53"/>
      <c r="M23" s="119"/>
      <c r="N23" s="70"/>
      <c r="O23" s="337"/>
      <c r="P23" s="23"/>
      <c r="Q23" s="23"/>
      <c r="R23" s="23"/>
    </row>
    <row r="24" spans="1:18" ht="27" customHeight="1" x14ac:dyDescent="0.2">
      <c r="A24" s="363">
        <f>COUNTIF(L$1:L24,"!")</f>
        <v>1</v>
      </c>
      <c r="B24" s="364" t="str">
        <f>A24&amp;"."&amp;COUNTIF(A$3:A24,A24)-1</f>
        <v>1.17</v>
      </c>
      <c r="C24" s="103" t="s">
        <v>54</v>
      </c>
      <c r="D24" s="104"/>
      <c r="E24" s="365"/>
      <c r="F24" s="101"/>
      <c r="G24" s="104"/>
      <c r="H24" s="104"/>
      <c r="I24" s="118" t="s">
        <v>1</v>
      </c>
      <c r="J24" s="120">
        <f>SUM(J8:J23)</f>
        <v>6.1341000000000001</v>
      </c>
      <c r="K24" s="104"/>
      <c r="L24" s="53"/>
      <c r="M24" s="119"/>
      <c r="N24" s="70"/>
      <c r="O24" s="337"/>
      <c r="P24" s="30"/>
      <c r="Q24" s="90"/>
      <c r="R24" s="30"/>
    </row>
    <row r="25" spans="1:18" ht="16.5" customHeight="1" x14ac:dyDescent="0.15">
      <c r="A25" s="97">
        <f>COUNTIF(L$1:L25,"!")</f>
        <v>2</v>
      </c>
      <c r="B25" s="32" t="str">
        <f>COUNTIF(L$2:L26,"!")&amp;"."</f>
        <v>2.</v>
      </c>
      <c r="C25" s="47" t="str">
        <f>C26</f>
        <v>变压器</v>
      </c>
      <c r="D25" s="35" t="str">
        <f>D26</f>
        <v>S13-M-630KVA 全铜</v>
      </c>
      <c r="E25" s="99" t="str">
        <f>E26</f>
        <v>浙江</v>
      </c>
      <c r="F25" s="99" t="str">
        <f>F26</f>
        <v>弘乐电气有限公司</v>
      </c>
      <c r="G25" s="34" t="s">
        <v>23</v>
      </c>
      <c r="H25" s="98">
        <v>1</v>
      </c>
      <c r="I25" s="115">
        <f>LOOKUP(0,0/((A25:A140=A25)*(C25:C140="合计金额（单位完整货物单价）")),J25:J140)</f>
        <v>5.7149999999999999</v>
      </c>
      <c r="J25" s="116">
        <f>IFERROR(I25*H25,"")</f>
        <v>5.7149999999999999</v>
      </c>
      <c r="K25" s="34"/>
      <c r="L25" s="48" t="s">
        <v>24</v>
      </c>
      <c r="M25" s="49"/>
      <c r="N25" s="50"/>
      <c r="O25" s="362"/>
      <c r="P25" s="23"/>
      <c r="Q25" s="360">
        <f>COUNTIF(L$3:L25,"#")</f>
        <v>1</v>
      </c>
      <c r="R25" s="23"/>
    </row>
    <row r="26" spans="1:18" ht="16.5" customHeight="1" x14ac:dyDescent="0.2">
      <c r="A26" s="363">
        <f>COUNTIF(L$1:L26,"!")</f>
        <v>2</v>
      </c>
      <c r="B26" s="364" t="str">
        <f>A26&amp;"."&amp;COUNTIF(A$3:A26,A26)-1</f>
        <v>2.1</v>
      </c>
      <c r="C26" s="100" t="str">
        <f>IFERROR(VLOOKUP(D26,元件库!$B:$O,3,FALSE),"")</f>
        <v>变压器</v>
      </c>
      <c r="D26" s="41" t="s">
        <v>2813</v>
      </c>
      <c r="E26" s="101" t="s">
        <v>22</v>
      </c>
      <c r="F26" s="101" t="s">
        <v>2814</v>
      </c>
      <c r="G26" s="41" t="s">
        <v>23</v>
      </c>
      <c r="H26" s="41">
        <v>1</v>
      </c>
      <c r="I26" s="117">
        <f>IFERROR(ROUND(L26*M26/10000,4),"")</f>
        <v>5.64</v>
      </c>
      <c r="J26" s="117">
        <f t="shared" ref="J26:J27" si="5">IFERROR(I26*H26,"")</f>
        <v>5.64</v>
      </c>
      <c r="K26" s="52"/>
      <c r="L26" s="53">
        <f t="shared" ref="L26:L27" si="6">L$2</f>
        <v>1</v>
      </c>
      <c r="M26" s="69">
        <f t="shared" ref="M26:M27" si="7">IFERROR(O26*N26,"")</f>
        <v>56400</v>
      </c>
      <c r="N26" s="55">
        <f>IFERROR(VLOOKUP(D26,元件库!$B:$O,10,FALSE),"1.00")</f>
        <v>1</v>
      </c>
      <c r="O26" s="337">
        <f>IFERROR(VLOOKUP(D26,元件库!$B:$O,11,FALSE),"")</f>
        <v>56400</v>
      </c>
      <c r="P26" s="57" t="str">
        <f t="shared" ref="P26:P27" si="8">IF(_xlfn.ISFORMULA(O26),"","值")</f>
        <v/>
      </c>
      <c r="Q26" s="90"/>
      <c r="R26" s="23"/>
    </row>
    <row r="27" spans="1:18" ht="16.5" customHeight="1" x14ac:dyDescent="0.2">
      <c r="A27" s="363">
        <f>COUNTIF(L$1:L27,"!")</f>
        <v>2</v>
      </c>
      <c r="B27" s="364" t="str">
        <f>A27&amp;"."&amp;COUNTIF(A$3:A27,A27)-1</f>
        <v>2.2</v>
      </c>
      <c r="C27" s="100" t="s">
        <v>51</v>
      </c>
      <c r="D27" s="41"/>
      <c r="E27" s="101"/>
      <c r="F27" s="101"/>
      <c r="G27" s="41" t="s">
        <v>2812</v>
      </c>
      <c r="H27" s="41">
        <v>1</v>
      </c>
      <c r="I27" s="117">
        <f t="shared" ref="I27" si="9">IFERROR(ROUND(L27*M27/10000,4),"")</f>
        <v>7.4999999999999997E-2</v>
      </c>
      <c r="J27" s="117">
        <f t="shared" si="5"/>
        <v>7.4999999999999997E-2</v>
      </c>
      <c r="K27" s="52"/>
      <c r="L27" s="53">
        <f t="shared" si="6"/>
        <v>1</v>
      </c>
      <c r="M27" s="69">
        <f t="shared" si="7"/>
        <v>750</v>
      </c>
      <c r="N27" s="55">
        <v>1</v>
      </c>
      <c r="O27" s="337">
        <v>750</v>
      </c>
      <c r="P27" s="57" t="str">
        <f t="shared" si="8"/>
        <v>值</v>
      </c>
      <c r="Q27" s="23"/>
      <c r="R27" s="23"/>
    </row>
    <row r="28" spans="1:18" ht="27" customHeight="1" x14ac:dyDescent="0.2">
      <c r="A28" s="363">
        <f>COUNTIF(L$1:L28,"!")</f>
        <v>2</v>
      </c>
      <c r="B28" s="364" t="str">
        <f>A28&amp;"."&amp;COUNTIF(A$3:A28,A28)-1</f>
        <v>2.3</v>
      </c>
      <c r="C28" s="103" t="s">
        <v>53</v>
      </c>
      <c r="D28" s="104"/>
      <c r="E28" s="365"/>
      <c r="F28" s="101"/>
      <c r="G28" s="104"/>
      <c r="H28" s="104" t="s">
        <v>1</v>
      </c>
      <c r="I28" s="118" t="s">
        <v>52</v>
      </c>
      <c r="J28" s="366"/>
      <c r="K28" s="104"/>
      <c r="L28" s="53"/>
      <c r="M28" s="119"/>
      <c r="N28" s="70"/>
      <c r="O28" s="337"/>
      <c r="P28" s="23"/>
      <c r="Q28" s="23"/>
      <c r="R28" s="23"/>
    </row>
    <row r="29" spans="1:18" ht="27" customHeight="1" x14ac:dyDescent="0.2">
      <c r="A29" s="363">
        <f>COUNTIF(L$1:L29,"!")</f>
        <v>2</v>
      </c>
      <c r="B29" s="364" t="str">
        <f>A29&amp;"."&amp;COUNTIF(A$3:A29,A29)-1</f>
        <v>2.4</v>
      </c>
      <c r="C29" s="103" t="s">
        <v>54</v>
      </c>
      <c r="D29" s="104"/>
      <c r="E29" s="365"/>
      <c r="F29" s="101"/>
      <c r="G29" s="104"/>
      <c r="H29" s="104"/>
      <c r="I29" s="118" t="s">
        <v>1</v>
      </c>
      <c r="J29" s="120">
        <f>SUM(J26:J28)</f>
        <v>5.7149999999999999</v>
      </c>
      <c r="K29" s="104"/>
      <c r="L29" s="53"/>
      <c r="M29" s="119"/>
      <c r="N29" s="70"/>
      <c r="O29" s="337"/>
      <c r="P29" s="30"/>
      <c r="Q29" s="90"/>
      <c r="R29" s="30"/>
    </row>
    <row r="30" spans="1:18" ht="16.5" customHeight="1" x14ac:dyDescent="0.15">
      <c r="A30" s="97">
        <f>COUNTIF(L$1:L30,"!")</f>
        <v>3</v>
      </c>
      <c r="B30" s="32" t="str">
        <f>COUNTIF(L$2:L31,"!")&amp;"."</f>
        <v>3.</v>
      </c>
      <c r="C30" s="47" t="s">
        <v>2815</v>
      </c>
      <c r="D30" s="35"/>
      <c r="E30" s="367" t="s">
        <v>37</v>
      </c>
      <c r="F30" s="367" t="s">
        <v>38</v>
      </c>
      <c r="G30" s="34" t="s">
        <v>23</v>
      </c>
      <c r="H30" s="98">
        <v>1</v>
      </c>
      <c r="I30" s="115">
        <f>LOOKUP(0,0/((A30:A145=A30)*(C30:C145="合计金额（单位完整货物单价）")),J30:J145)</f>
        <v>0.55599999999999994</v>
      </c>
      <c r="J30" s="116">
        <f>IFERROR(I30*H30,"")</f>
        <v>0.55599999999999994</v>
      </c>
      <c r="K30" s="34"/>
      <c r="L30" s="48" t="s">
        <v>24</v>
      </c>
      <c r="M30" s="49"/>
      <c r="N30" s="50"/>
      <c r="O30" s="362"/>
      <c r="P30" s="23"/>
      <c r="Q30" s="360">
        <f>COUNTIF(L$3:L30,"#")</f>
        <v>1</v>
      </c>
      <c r="R30" s="23"/>
    </row>
    <row r="31" spans="1:18" s="23" customFormat="1" ht="16.5" customHeight="1" x14ac:dyDescent="0.2">
      <c r="A31" s="363">
        <f>COUNTIF(L$1:L31,"!")</f>
        <v>3</v>
      </c>
      <c r="B31" s="364" t="str">
        <f>A31&amp;"."&amp;COUNTIF(A$3:A31,A31)-1</f>
        <v>3.1</v>
      </c>
      <c r="C31" s="100" t="str">
        <f>IFERROR(VLOOKUP(D31,元件库!$B:$O,3,FALSE),"")</f>
        <v>铜排</v>
      </c>
      <c r="D31" s="41" t="s">
        <v>2816</v>
      </c>
      <c r="E31" s="101" t="s">
        <v>2817</v>
      </c>
      <c r="F31" s="101" t="s">
        <v>2818</v>
      </c>
      <c r="G31" s="41" t="s">
        <v>39</v>
      </c>
      <c r="H31" s="41">
        <v>10</v>
      </c>
      <c r="I31" s="117">
        <f>IFERROR(ROUND(L31*M31/10000,4),"")</f>
        <v>4.0599999999999997E-2</v>
      </c>
      <c r="J31" s="117">
        <f>IFERROR(I31*H31,"")</f>
        <v>0.40599999999999997</v>
      </c>
      <c r="K31" s="52"/>
      <c r="L31" s="53">
        <f t="shared" ref="L31:L33" si="10">L$2</f>
        <v>1</v>
      </c>
      <c r="M31" s="69">
        <f>IFERROR(O31*N31,"")</f>
        <v>405.84</v>
      </c>
      <c r="N31" s="55">
        <f>IFERROR(VLOOKUP(D31,元件库!$B:$O,10,FALSE),"1.00")</f>
        <v>1</v>
      </c>
      <c r="O31" s="337">
        <f>IFERROR(VLOOKUP(D31,元件库!$B:$O,11,FALSE),"")</f>
        <v>405.84</v>
      </c>
      <c r="P31" s="57" t="str">
        <f>IF(_xlfn.ISFORMULA(O31),"","值")</f>
        <v/>
      </c>
    </row>
    <row r="32" spans="1:18" s="23" customFormat="1" ht="16.5" customHeight="1" x14ac:dyDescent="0.2">
      <c r="A32" s="363">
        <f>COUNTIF(L$1:L32,"!")</f>
        <v>3</v>
      </c>
      <c r="B32" s="364" t="str">
        <f>A32&amp;"."&amp;COUNTIF(A$3:A32,A32)-1</f>
        <v>3.2</v>
      </c>
      <c r="C32" s="100" t="s">
        <v>2819</v>
      </c>
      <c r="D32" s="41" t="s">
        <v>2820</v>
      </c>
      <c r="E32" s="101" t="s">
        <v>2821</v>
      </c>
      <c r="F32" s="101" t="s">
        <v>2822</v>
      </c>
      <c r="G32" s="41" t="s">
        <v>2823</v>
      </c>
      <c r="H32" s="41">
        <v>1</v>
      </c>
      <c r="I32" s="117">
        <f>IFERROR(ROUND(L32*M32/10000,4),"")</f>
        <v>0.15</v>
      </c>
      <c r="J32" s="117">
        <f>IFERROR(I32*H32,"")</f>
        <v>0.15</v>
      </c>
      <c r="K32" s="52"/>
      <c r="L32" s="53">
        <f t="shared" si="10"/>
        <v>1</v>
      </c>
      <c r="M32" s="69">
        <f>IFERROR(O32*N32,"")</f>
        <v>1500</v>
      </c>
      <c r="N32" s="55" t="str">
        <f>IFERROR(VLOOKUP(D32,元件库!$B:$O,10,FALSE),"1.00")</f>
        <v>1.00</v>
      </c>
      <c r="O32" s="337">
        <v>1500</v>
      </c>
      <c r="P32" s="57" t="str">
        <f>IF(_xlfn.ISFORMULA(O32),"","值")</f>
        <v>值</v>
      </c>
    </row>
    <row r="33" spans="1:18" ht="16.5" customHeight="1" x14ac:dyDescent="0.2">
      <c r="A33" s="363">
        <f>COUNTIF(L$1:L33,"!")</f>
        <v>3</v>
      </c>
      <c r="B33" s="364" t="str">
        <f>A33&amp;"."&amp;COUNTIF(A$3:A33,A33)-1</f>
        <v>3.3</v>
      </c>
      <c r="C33" s="100" t="s">
        <v>51</v>
      </c>
      <c r="D33" s="41"/>
      <c r="E33" s="101"/>
      <c r="F33" s="101"/>
      <c r="G33" s="41"/>
      <c r="H33" s="41"/>
      <c r="I33" s="118" t="s">
        <v>52</v>
      </c>
      <c r="J33" s="117" t="str">
        <f t="shared" ref="J33" si="11">IFERROR(I33*H33,"")</f>
        <v/>
      </c>
      <c r="K33" s="52"/>
      <c r="L33" s="53">
        <f t="shared" si="10"/>
        <v>1</v>
      </c>
      <c r="M33" s="69">
        <f t="shared" ref="M33" si="12">IFERROR(O33*N33,"")</f>
        <v>750</v>
      </c>
      <c r="N33" s="55">
        <v>1</v>
      </c>
      <c r="O33" s="337">
        <v>750</v>
      </c>
      <c r="P33" s="57" t="str">
        <f t="shared" ref="P33" si="13">IF(_xlfn.ISFORMULA(O33),"","值")</f>
        <v>值</v>
      </c>
      <c r="Q33" s="23"/>
      <c r="R33" s="23"/>
    </row>
    <row r="34" spans="1:18" ht="27" customHeight="1" x14ac:dyDescent="0.2">
      <c r="A34" s="363">
        <f>COUNTIF(L$1:L34,"!")</f>
        <v>3</v>
      </c>
      <c r="B34" s="364" t="str">
        <f>A34&amp;"."&amp;COUNTIF(A$3:A34,A34)-1</f>
        <v>3.4</v>
      </c>
      <c r="C34" s="103" t="s">
        <v>53</v>
      </c>
      <c r="D34" s="104"/>
      <c r="E34" s="365"/>
      <c r="F34" s="101"/>
      <c r="G34" s="104"/>
      <c r="H34" s="104" t="s">
        <v>1</v>
      </c>
      <c r="I34" s="118" t="s">
        <v>52</v>
      </c>
      <c r="J34" s="366"/>
      <c r="K34" s="104"/>
      <c r="L34" s="53"/>
      <c r="M34" s="119"/>
      <c r="N34" s="70"/>
      <c r="O34" s="337"/>
      <c r="P34" s="23"/>
      <c r="Q34" s="23"/>
      <c r="R34" s="23"/>
    </row>
    <row r="35" spans="1:18" ht="27" customHeight="1" x14ac:dyDescent="0.2">
      <c r="A35" s="363">
        <f>COUNTIF(L$1:L35,"!")</f>
        <v>3</v>
      </c>
      <c r="B35" s="364" t="str">
        <f>A35&amp;"."&amp;COUNTIF(A$3:A35,A35)-1</f>
        <v>3.5</v>
      </c>
      <c r="C35" s="103" t="s">
        <v>54</v>
      </c>
      <c r="D35" s="104"/>
      <c r="E35" s="365"/>
      <c r="F35" s="101"/>
      <c r="G35" s="104"/>
      <c r="H35" s="104"/>
      <c r="I35" s="118" t="s">
        <v>1</v>
      </c>
      <c r="J35" s="120">
        <f>SUM(J31:J34)</f>
        <v>0.55599999999999994</v>
      </c>
      <c r="K35" s="104"/>
      <c r="L35" s="53"/>
      <c r="M35" s="119"/>
      <c r="N35" s="70"/>
      <c r="O35" s="337"/>
      <c r="P35" s="30"/>
      <c r="Q35" s="90"/>
      <c r="R35" s="30"/>
    </row>
    <row r="36" spans="1:18" s="23" customFormat="1" ht="16.5" customHeight="1" x14ac:dyDescent="0.15">
      <c r="A36" s="97">
        <f>COUNTIF(L$1:L36,"!")</f>
        <v>4</v>
      </c>
      <c r="B36" s="32" t="str">
        <f>COUNTIF(L$2:L37,"!")&amp;"."</f>
        <v>4.</v>
      </c>
      <c r="C36" s="47" t="s">
        <v>2824</v>
      </c>
      <c r="D36" s="35" t="str">
        <f>D37</f>
        <v>GGD-800*600*2000</v>
      </c>
      <c r="E36" s="367" t="s">
        <v>22</v>
      </c>
      <c r="F36" s="367" t="s">
        <v>3261</v>
      </c>
      <c r="G36" s="34" t="s">
        <v>23</v>
      </c>
      <c r="H36" s="98">
        <v>1</v>
      </c>
      <c r="I36" s="115">
        <f>LOOKUP(0,0/((A36:A126=A36)*(C36:C126="合计金额（单位完整货物单价）")),J36:J126)</f>
        <v>1.5017600000000002</v>
      </c>
      <c r="J36" s="116">
        <f>IFERROR(I36*H36,"")</f>
        <v>1.5017600000000002</v>
      </c>
      <c r="K36" s="34"/>
      <c r="L36" s="48" t="s">
        <v>24</v>
      </c>
      <c r="M36" s="49"/>
      <c r="N36" s="50"/>
      <c r="O36" s="51"/>
      <c r="Q36" s="360">
        <f>COUNTIF(L$3:L36,"#")</f>
        <v>1</v>
      </c>
    </row>
    <row r="37" spans="1:18" s="23" customFormat="1" ht="16.5" customHeight="1" x14ac:dyDescent="0.2">
      <c r="A37" s="363">
        <f>COUNTIF(L$1:L37,"!")</f>
        <v>4</v>
      </c>
      <c r="B37" s="364" t="str">
        <f>A37&amp;"."&amp;COUNTIF(A$3:A37,A37)-1</f>
        <v>4.1</v>
      </c>
      <c r="C37" s="100" t="str">
        <f>IFERROR(VLOOKUP(D37,元件库!$B:$O,3,FALSE),"")</f>
        <v>壳体W*D*H</v>
      </c>
      <c r="D37" s="41" t="s">
        <v>181</v>
      </c>
      <c r="E37" s="101" t="s">
        <v>2821</v>
      </c>
      <c r="F37" s="101" t="s">
        <v>3261</v>
      </c>
      <c r="G37" s="41" t="s">
        <v>23</v>
      </c>
      <c r="H37" s="41">
        <v>1</v>
      </c>
      <c r="I37" s="117">
        <f>IFERROR(ROUND(L37*M37/10000,4),"")</f>
        <v>0.155</v>
      </c>
      <c r="J37" s="117">
        <f t="shared" ref="J37:J47" si="14">IFERROR(I37*H37,"")</f>
        <v>0.155</v>
      </c>
      <c r="K37" s="52"/>
      <c r="L37" s="53">
        <f t="shared" ref="L37:L55" si="15">L$2</f>
        <v>1</v>
      </c>
      <c r="M37" s="69">
        <f t="shared" ref="M37:M47" si="16">IFERROR(O37*N37,"")</f>
        <v>1550</v>
      </c>
      <c r="N37" s="55">
        <f>IFERROR(VLOOKUP(D37,元件库!$B:$O,10,FALSE),"1.00")</f>
        <v>1</v>
      </c>
      <c r="O37" s="337">
        <f>IFERROR(VLOOKUP(D37,元件库!$B:$O,11,FALSE),"")</f>
        <v>1550</v>
      </c>
      <c r="P37" s="57" t="str">
        <f t="shared" ref="P37:P47" si="17">IF(_xlfn.ISFORMULA(O37),"","值")</f>
        <v/>
      </c>
      <c r="Q37" s="90"/>
    </row>
    <row r="38" spans="1:18" s="23" customFormat="1" ht="16.5" customHeight="1" x14ac:dyDescent="0.2">
      <c r="A38" s="363">
        <f>COUNTIF(L$1:L38,"!")</f>
        <v>4</v>
      </c>
      <c r="B38" s="364" t="str">
        <f>A38&amp;"."&amp;COUNTIF(A$3:A38,A38)-1</f>
        <v>4.2</v>
      </c>
      <c r="C38" s="100" t="str">
        <f>IFERROR(VLOOKUP(D38,元件库!$B:$O,3,FALSE),"")</f>
        <v>封板</v>
      </c>
      <c r="D38" s="41" t="s">
        <v>2825</v>
      </c>
      <c r="E38" s="101" t="s">
        <v>2821</v>
      </c>
      <c r="F38" s="101" t="s">
        <v>3261</v>
      </c>
      <c r="G38" s="41" t="s">
        <v>23</v>
      </c>
      <c r="H38" s="41">
        <v>2</v>
      </c>
      <c r="I38" s="117">
        <f>IFERROR(ROUND(L38*M38/10000,4),"")</f>
        <v>1.7999999999999999E-2</v>
      </c>
      <c r="J38" s="117">
        <f t="shared" si="14"/>
        <v>3.5999999999999997E-2</v>
      </c>
      <c r="K38" s="52"/>
      <c r="L38" s="53">
        <f t="shared" si="15"/>
        <v>1</v>
      </c>
      <c r="M38" s="69">
        <f t="shared" si="16"/>
        <v>180</v>
      </c>
      <c r="N38" s="55">
        <f>IFERROR(VLOOKUP(D38,元件库!$B:$O,10,FALSE),"1.00")</f>
        <v>1</v>
      </c>
      <c r="O38" s="337">
        <f>IFERROR(VLOOKUP(D38,元件库!$B:$O,11,FALSE),"")</f>
        <v>180</v>
      </c>
      <c r="P38" s="57" t="str">
        <f t="shared" si="17"/>
        <v/>
      </c>
      <c r="Q38" s="90"/>
    </row>
    <row r="39" spans="1:18" s="23" customFormat="1" ht="16.5" customHeight="1" x14ac:dyDescent="0.2">
      <c r="A39" s="363">
        <f>COUNTIF(L$1:L39,"!")</f>
        <v>4</v>
      </c>
      <c r="B39" s="364" t="str">
        <f>A39&amp;"."&amp;COUNTIF(A$3:A39,A39)-1</f>
        <v>4.3</v>
      </c>
      <c r="C39" s="100" t="str">
        <f>IFERROR(VLOOKUP(D39,元件库!$B:$O,3,FALSE),"")</f>
        <v>刀开关</v>
      </c>
      <c r="D39" s="41" t="s">
        <v>2826</v>
      </c>
      <c r="E39" s="101" t="s">
        <v>2821</v>
      </c>
      <c r="F39" s="101" t="s">
        <v>32</v>
      </c>
      <c r="G39" s="41" t="s">
        <v>29</v>
      </c>
      <c r="H39" s="41">
        <v>1</v>
      </c>
      <c r="I39" s="117">
        <f t="shared" ref="I39:I47" si="18">IFERROR(ROUND(L39*M39/10000,4),"")</f>
        <v>9.2999999999999999E-2</v>
      </c>
      <c r="J39" s="117">
        <f t="shared" si="14"/>
        <v>9.2999999999999999E-2</v>
      </c>
      <c r="K39" s="52"/>
      <c r="L39" s="53">
        <f t="shared" si="15"/>
        <v>1</v>
      </c>
      <c r="M39" s="69">
        <f t="shared" si="16"/>
        <v>929.50000000000011</v>
      </c>
      <c r="N39" s="55">
        <f>IFERROR(VLOOKUP(D39,元件库!$B:$O,10,FALSE),"1.00")</f>
        <v>0.55000000000000004</v>
      </c>
      <c r="O39" s="337">
        <f>IFERROR(VLOOKUP(D39,元件库!$B:$O,11,FALSE),"")</f>
        <v>1690</v>
      </c>
      <c r="P39" s="57" t="str">
        <f t="shared" si="17"/>
        <v/>
      </c>
      <c r="Q39" s="90"/>
    </row>
    <row r="40" spans="1:18" s="23" customFormat="1" ht="16.5" customHeight="1" x14ac:dyDescent="0.2">
      <c r="A40" s="363">
        <f>COUNTIF(L$1:L40,"!")</f>
        <v>4</v>
      </c>
      <c r="B40" s="364" t="str">
        <f>A40&amp;"."&amp;COUNTIF(A$3:A40,A40)-1</f>
        <v>4.4</v>
      </c>
      <c r="C40" s="100" t="str">
        <f>IFERROR(VLOOKUP(D40,元件库!$B:$O,3,FALSE),"")</f>
        <v>框架断路器</v>
      </c>
      <c r="D40" s="41" t="s">
        <v>2827</v>
      </c>
      <c r="E40" s="101" t="s">
        <v>2821</v>
      </c>
      <c r="F40" s="101" t="s">
        <v>28</v>
      </c>
      <c r="G40" s="41" t="s">
        <v>29</v>
      </c>
      <c r="H40" s="41">
        <v>1</v>
      </c>
      <c r="I40" s="117">
        <f t="shared" si="18"/>
        <v>0.43049999999999999</v>
      </c>
      <c r="J40" s="117">
        <f t="shared" si="14"/>
        <v>0.43049999999999999</v>
      </c>
      <c r="K40" s="52"/>
      <c r="L40" s="53">
        <f t="shared" si="15"/>
        <v>1</v>
      </c>
      <c r="M40" s="69">
        <f t="shared" si="16"/>
        <v>4305</v>
      </c>
      <c r="N40" s="55">
        <f>IFERROR(VLOOKUP(D40,元件库!$B:$O,10,FALSE),"1.00")</f>
        <v>1</v>
      </c>
      <c r="O40" s="337">
        <f>IFERROR(VLOOKUP(D40,元件库!$B:$O,11,FALSE),"")</f>
        <v>4305</v>
      </c>
      <c r="P40" s="57" t="str">
        <f t="shared" si="17"/>
        <v/>
      </c>
      <c r="Q40" s="90"/>
    </row>
    <row r="41" spans="1:18" s="23" customFormat="1" ht="16.5" customHeight="1" x14ac:dyDescent="0.2">
      <c r="A41" s="363">
        <f>COUNTIF(L$1:L41,"!")</f>
        <v>4</v>
      </c>
      <c r="B41" s="364" t="str">
        <f>A41&amp;"."&amp;COUNTIF(A$3:A41,A41)-1</f>
        <v>4.5</v>
      </c>
      <c r="C41" s="100" t="str">
        <f>IFERROR(VLOOKUP(D41,元件库!$B:$O,3,FALSE),"")</f>
        <v/>
      </c>
      <c r="D41" s="41" t="s">
        <v>2828</v>
      </c>
      <c r="E41" s="101" t="s">
        <v>2821</v>
      </c>
      <c r="F41" s="101" t="s">
        <v>32</v>
      </c>
      <c r="G41" s="41" t="s">
        <v>29</v>
      </c>
      <c r="H41" s="41">
        <v>3</v>
      </c>
      <c r="I41" s="117" t="str">
        <f t="shared" si="18"/>
        <v/>
      </c>
      <c r="J41" s="117" t="str">
        <f t="shared" si="14"/>
        <v/>
      </c>
      <c r="K41" s="52"/>
      <c r="L41" s="53">
        <f t="shared" si="15"/>
        <v>1</v>
      </c>
      <c r="M41" s="69" t="str">
        <f t="shared" si="16"/>
        <v/>
      </c>
      <c r="N41" s="55" t="str">
        <f>IFERROR(VLOOKUP(D41,元件库!$B:$O,10,FALSE),"1.00")</f>
        <v>1.00</v>
      </c>
      <c r="O41" s="337" t="str">
        <f>IFERROR(VLOOKUP(D41,元件库!$B:$O,11,FALSE),"")</f>
        <v/>
      </c>
      <c r="P41" s="57" t="str">
        <f t="shared" si="17"/>
        <v/>
      </c>
    </row>
    <row r="42" spans="1:18" s="23" customFormat="1" ht="16.5" customHeight="1" x14ac:dyDescent="0.2">
      <c r="A42" s="363">
        <f>COUNTIF(L$1:L42,"!")</f>
        <v>4</v>
      </c>
      <c r="B42" s="364" t="str">
        <f>A42&amp;"."&amp;COUNTIF(A$3:A42,A42)-1</f>
        <v>4.6</v>
      </c>
      <c r="C42" s="100" t="str">
        <f>IFERROR(VLOOKUP(D42,元件库!$B:$O,3,FALSE),"")</f>
        <v/>
      </c>
      <c r="D42" s="41" t="s">
        <v>2829</v>
      </c>
      <c r="E42" s="101" t="s">
        <v>2821</v>
      </c>
      <c r="F42" s="101" t="s">
        <v>32</v>
      </c>
      <c r="G42" s="41" t="s">
        <v>29</v>
      </c>
      <c r="H42" s="41">
        <v>6</v>
      </c>
      <c r="I42" s="117" t="str">
        <f t="shared" si="18"/>
        <v/>
      </c>
      <c r="J42" s="117" t="str">
        <f t="shared" si="14"/>
        <v/>
      </c>
      <c r="K42" s="52"/>
      <c r="L42" s="53">
        <f t="shared" si="15"/>
        <v>1</v>
      </c>
      <c r="M42" s="69" t="str">
        <f t="shared" si="16"/>
        <v/>
      </c>
      <c r="N42" s="55" t="str">
        <f>IFERROR(VLOOKUP(D42,元件库!$B:$O,10,FALSE),"1.00")</f>
        <v>1.00</v>
      </c>
      <c r="O42" s="337" t="str">
        <f>IFERROR(VLOOKUP(D42,元件库!$B:$O,11,FALSE),"")</f>
        <v/>
      </c>
      <c r="P42" s="57" t="str">
        <f t="shared" si="17"/>
        <v/>
      </c>
    </row>
    <row r="43" spans="1:18" s="23" customFormat="1" ht="16.5" customHeight="1" x14ac:dyDescent="0.2">
      <c r="A43" s="363">
        <f>COUNTIF(L$1:L43,"!")</f>
        <v>4</v>
      </c>
      <c r="B43" s="364" t="str">
        <f>A43&amp;"."&amp;COUNTIF(A$3:A43,A43)-1</f>
        <v>4.7</v>
      </c>
      <c r="C43" s="100" t="str">
        <f>IFERROR(VLOOKUP(D43,元件库!$B:$O,3,FALSE),"")</f>
        <v>电流.电压表</v>
      </c>
      <c r="D43" s="41" t="s">
        <v>145</v>
      </c>
      <c r="E43" s="101" t="s">
        <v>2821</v>
      </c>
      <c r="F43" s="101" t="s">
        <v>32</v>
      </c>
      <c r="G43" s="41" t="s">
        <v>29</v>
      </c>
      <c r="H43" s="41">
        <v>3</v>
      </c>
      <c r="I43" s="117">
        <f t="shared" si="18"/>
        <v>1.4E-3</v>
      </c>
      <c r="J43" s="117">
        <f t="shared" si="14"/>
        <v>4.1999999999999997E-3</v>
      </c>
      <c r="K43" s="52"/>
      <c r="L43" s="53">
        <f t="shared" si="15"/>
        <v>1</v>
      </c>
      <c r="M43" s="69">
        <f t="shared" si="16"/>
        <v>13.750000000000002</v>
      </c>
      <c r="N43" s="55">
        <f>IFERROR(VLOOKUP(D43,元件库!$B:$O,10,FALSE),"1.00")</f>
        <v>0.55000000000000004</v>
      </c>
      <c r="O43" s="337">
        <f>IFERROR(VLOOKUP(D43,元件库!$B:$O,11,FALSE),"")</f>
        <v>25</v>
      </c>
      <c r="P43" s="57" t="str">
        <f t="shared" si="17"/>
        <v/>
      </c>
    </row>
    <row r="44" spans="1:18" s="23" customFormat="1" ht="16.5" customHeight="1" x14ac:dyDescent="0.2">
      <c r="A44" s="363">
        <f>COUNTIF(L$1:L44,"!")</f>
        <v>4</v>
      </c>
      <c r="B44" s="364" t="str">
        <f>A44&amp;"."&amp;COUNTIF(A$3:A44,A44)-1</f>
        <v>4.8</v>
      </c>
      <c r="C44" s="100" t="str">
        <f>IFERROR(VLOOKUP(D44,元件库!$B:$O,3,FALSE),"")</f>
        <v>电流.电压表</v>
      </c>
      <c r="D44" s="41" t="s">
        <v>150</v>
      </c>
      <c r="E44" s="101" t="s">
        <v>2821</v>
      </c>
      <c r="F44" s="101" t="s">
        <v>32</v>
      </c>
      <c r="G44" s="41" t="s">
        <v>29</v>
      </c>
      <c r="H44" s="41">
        <v>1</v>
      </c>
      <c r="I44" s="117">
        <f t="shared" si="18"/>
        <v>1.4E-3</v>
      </c>
      <c r="J44" s="117">
        <f t="shared" si="14"/>
        <v>1.4E-3</v>
      </c>
      <c r="K44" s="52"/>
      <c r="L44" s="53">
        <f t="shared" si="15"/>
        <v>1</v>
      </c>
      <c r="M44" s="69">
        <f t="shared" si="16"/>
        <v>13.750000000000002</v>
      </c>
      <c r="N44" s="55">
        <f>IFERROR(VLOOKUP(D44,元件库!$B:$O,10,FALSE),"1.00")</f>
        <v>0.55000000000000004</v>
      </c>
      <c r="O44" s="337">
        <f>IFERROR(VLOOKUP(D44,元件库!$B:$O,11,FALSE),"")</f>
        <v>25</v>
      </c>
      <c r="P44" s="57" t="str">
        <f t="shared" si="17"/>
        <v/>
      </c>
    </row>
    <row r="45" spans="1:18" s="23" customFormat="1" ht="16.5" customHeight="1" x14ac:dyDescent="0.2">
      <c r="A45" s="363">
        <f>COUNTIF(L$1:L45,"!")</f>
        <v>4</v>
      </c>
      <c r="B45" s="364" t="str">
        <f>A45&amp;"."&amp;COUNTIF(A$3:A45,A45)-1</f>
        <v>4.9</v>
      </c>
      <c r="C45" s="100" t="str">
        <f>IFERROR(VLOOKUP(D45,元件库!$B:$O,3,FALSE),"")</f>
        <v/>
      </c>
      <c r="D45" s="41" t="s">
        <v>2830</v>
      </c>
      <c r="E45" s="101" t="s">
        <v>2821</v>
      </c>
      <c r="F45" s="101" t="s">
        <v>32</v>
      </c>
      <c r="G45" s="41" t="s">
        <v>29</v>
      </c>
      <c r="H45" s="41">
        <v>1</v>
      </c>
      <c r="I45" s="117" t="str">
        <f t="shared" si="18"/>
        <v/>
      </c>
      <c r="J45" s="117" t="str">
        <f t="shared" si="14"/>
        <v/>
      </c>
      <c r="K45" s="52"/>
      <c r="L45" s="53">
        <f t="shared" si="15"/>
        <v>1</v>
      </c>
      <c r="M45" s="69" t="str">
        <f t="shared" si="16"/>
        <v/>
      </c>
      <c r="N45" s="55" t="str">
        <f>IFERROR(VLOOKUP(D45,元件库!$B:$O,10,FALSE),"1.00")</f>
        <v>1.00</v>
      </c>
      <c r="O45" s="337" t="str">
        <f>IFERROR(VLOOKUP(D45,元件库!$B:$O,11,FALSE),"")</f>
        <v/>
      </c>
      <c r="P45" s="57" t="str">
        <f t="shared" si="17"/>
        <v/>
      </c>
    </row>
    <row r="46" spans="1:18" s="23" customFormat="1" ht="16.5" customHeight="1" x14ac:dyDescent="0.2">
      <c r="A46" s="363">
        <f>COUNTIF(L$1:L46,"!")</f>
        <v>4</v>
      </c>
      <c r="B46" s="364" t="str">
        <f>A46&amp;"."&amp;COUNTIF(A$3:A46,A46)-1</f>
        <v>4.10</v>
      </c>
      <c r="C46" s="100" t="str">
        <f>IFERROR(VLOOKUP(D46,元件库!$B:$O,3,FALSE),"")</f>
        <v>浪涌保护器</v>
      </c>
      <c r="D46" s="41" t="s">
        <v>2831</v>
      </c>
      <c r="E46" s="101" t="s">
        <v>2821</v>
      </c>
      <c r="F46" s="101" t="s">
        <v>67</v>
      </c>
      <c r="G46" s="41" t="s">
        <v>29</v>
      </c>
      <c r="H46" s="41">
        <v>1</v>
      </c>
      <c r="I46" s="117">
        <f t="shared" si="18"/>
        <v>1.9E-2</v>
      </c>
      <c r="J46" s="117">
        <f t="shared" si="14"/>
        <v>1.9E-2</v>
      </c>
      <c r="K46" s="52"/>
      <c r="L46" s="53">
        <f t="shared" si="15"/>
        <v>1</v>
      </c>
      <c r="M46" s="69">
        <f t="shared" si="16"/>
        <v>190</v>
      </c>
      <c r="N46" s="55">
        <f>IFERROR(VLOOKUP(D46,元件库!$B:$O,10,FALSE),"1.00")</f>
        <v>1</v>
      </c>
      <c r="O46" s="337">
        <f>IFERROR(VLOOKUP(D46,元件库!$B:$O,11,FALSE),"")</f>
        <v>190</v>
      </c>
      <c r="P46" s="57" t="str">
        <f t="shared" si="17"/>
        <v/>
      </c>
    </row>
    <row r="47" spans="1:18" s="23" customFormat="1" ht="16.5" customHeight="1" x14ac:dyDescent="0.2">
      <c r="A47" s="363">
        <f>COUNTIF(L$1:L47,"!")</f>
        <v>4</v>
      </c>
      <c r="B47" s="364" t="str">
        <f>A47&amp;"."&amp;COUNTIF(A$3:A47,A47)-1</f>
        <v>4.11</v>
      </c>
      <c r="C47" s="100" t="str">
        <f>IFERROR(VLOOKUP(D47,元件库!$B:$O,3,FALSE),"")</f>
        <v/>
      </c>
      <c r="D47" s="41" t="s">
        <v>75</v>
      </c>
      <c r="E47" s="101" t="s">
        <v>2821</v>
      </c>
      <c r="F47" s="101" t="s">
        <v>32</v>
      </c>
      <c r="G47" s="41" t="s">
        <v>29</v>
      </c>
      <c r="H47" s="41">
        <v>4</v>
      </c>
      <c r="I47" s="117" t="str">
        <f t="shared" si="18"/>
        <v/>
      </c>
      <c r="J47" s="117" t="str">
        <f t="shared" si="14"/>
        <v/>
      </c>
      <c r="K47" s="52"/>
      <c r="L47" s="53">
        <f t="shared" si="15"/>
        <v>1</v>
      </c>
      <c r="M47" s="69" t="str">
        <f t="shared" si="16"/>
        <v/>
      </c>
      <c r="N47" s="55" t="str">
        <f>IFERROR(VLOOKUP(D47,元件库!$B:$O,10,FALSE),"1.00")</f>
        <v>1.00</v>
      </c>
      <c r="O47" s="337" t="str">
        <f>IFERROR(VLOOKUP(D47,元件库!$B:$O,11,FALSE),"")</f>
        <v/>
      </c>
      <c r="P47" s="57" t="str">
        <f t="shared" si="17"/>
        <v/>
      </c>
    </row>
    <row r="48" spans="1:18" s="23" customFormat="1" ht="16.5" customHeight="1" x14ac:dyDescent="0.2">
      <c r="A48" s="363">
        <f>COUNTIF(L$1:L48,"!")</f>
        <v>4</v>
      </c>
      <c r="B48" s="364" t="str">
        <f>A48&amp;"."&amp;COUNTIF(A$3:A48,A48)-1</f>
        <v>4.12</v>
      </c>
      <c r="C48" s="100" t="str">
        <f>IFERROR(VLOOKUP(D48,元件库!$B:$O,3,FALSE),"")</f>
        <v/>
      </c>
      <c r="D48" s="41" t="s">
        <v>2832</v>
      </c>
      <c r="E48" s="101" t="s">
        <v>2821</v>
      </c>
      <c r="F48" s="101" t="s">
        <v>32</v>
      </c>
      <c r="G48" s="41" t="s">
        <v>29</v>
      </c>
      <c r="H48" s="41">
        <v>4</v>
      </c>
      <c r="I48" s="117" t="str">
        <f>IFERROR(ROUND(L48*M48/10000,4),"")</f>
        <v/>
      </c>
      <c r="J48" s="117" t="str">
        <f>IFERROR(I48*H48,"")</f>
        <v/>
      </c>
      <c r="K48" s="52"/>
      <c r="L48" s="53">
        <f t="shared" si="15"/>
        <v>1</v>
      </c>
      <c r="M48" s="69" t="str">
        <f>IFERROR(O48*N48,"")</f>
        <v/>
      </c>
      <c r="N48" s="55" t="str">
        <f>IFERROR(VLOOKUP(D48,元件库!$B:$O,10,FALSE),"1.00")</f>
        <v>1.00</v>
      </c>
      <c r="O48" s="337" t="str">
        <f>IFERROR(VLOOKUP(D48,元件库!$B:$O,11,FALSE),"")</f>
        <v/>
      </c>
      <c r="P48" s="57" t="str">
        <f>IF(_xlfn.ISFORMULA(O48),"","值")</f>
        <v/>
      </c>
    </row>
    <row r="49" spans="1:17" s="23" customFormat="1" ht="16.5" customHeight="1" x14ac:dyDescent="0.2">
      <c r="A49" s="363">
        <f>COUNTIF(L$1:L49,"!")</f>
        <v>4</v>
      </c>
      <c r="B49" s="364" t="str">
        <f>A49&amp;"."&amp;COUNTIF(A$3:A49,A49)-1</f>
        <v>4.13</v>
      </c>
      <c r="C49" s="100" t="str">
        <f>IFERROR(VLOOKUP(D49,元件库!$B:$O,3,FALSE),"")</f>
        <v>指示灯</v>
      </c>
      <c r="D49" s="41" t="s">
        <v>35</v>
      </c>
      <c r="E49" s="101" t="s">
        <v>2821</v>
      </c>
      <c r="F49" s="101" t="s">
        <v>32</v>
      </c>
      <c r="G49" s="41" t="s">
        <v>29</v>
      </c>
      <c r="H49" s="41">
        <v>3</v>
      </c>
      <c r="I49" s="117">
        <f>IFERROR(ROUND(L49*M49/10000,4),"")</f>
        <v>2.0000000000000001E-4</v>
      </c>
      <c r="J49" s="117">
        <f>IFERROR(I49*H49,"")</f>
        <v>6.0000000000000006E-4</v>
      </c>
      <c r="K49" s="52"/>
      <c r="L49" s="53">
        <f t="shared" si="15"/>
        <v>1</v>
      </c>
      <c r="M49" s="69">
        <f>IFERROR(O49*N49,"")</f>
        <v>2.3100000000000005</v>
      </c>
      <c r="N49" s="55">
        <f>IFERROR(VLOOKUP(D49,元件库!$B:$O,10,FALSE),"1.00")</f>
        <v>0.55000000000000004</v>
      </c>
      <c r="O49" s="337">
        <f>IFERROR(VLOOKUP(D49,元件库!$B:$O,11,FALSE),"")</f>
        <v>4.2</v>
      </c>
      <c r="P49" s="57" t="str">
        <f>IF(_xlfn.ISFORMULA(O49),"","值")</f>
        <v/>
      </c>
    </row>
    <row r="50" spans="1:17" s="23" customFormat="1" ht="16.5" customHeight="1" x14ac:dyDescent="0.2">
      <c r="A50" s="363">
        <f>COUNTIF(L$1:L50,"!")</f>
        <v>4</v>
      </c>
      <c r="B50" s="364" t="str">
        <f>A50&amp;"."&amp;COUNTIF(A$3:A50,A50)-1</f>
        <v>4.14</v>
      </c>
      <c r="C50" s="100" t="str">
        <f>IFERROR(VLOOKUP(D50,元件库!$B:$O,3,FALSE),"")</f>
        <v/>
      </c>
      <c r="D50" s="41" t="s">
        <v>70</v>
      </c>
      <c r="E50" s="101" t="s">
        <v>2821</v>
      </c>
      <c r="F50" s="101" t="s">
        <v>32</v>
      </c>
      <c r="G50" s="41" t="s">
        <v>29</v>
      </c>
      <c r="H50" s="41">
        <v>2</v>
      </c>
      <c r="I50" s="117" t="str">
        <f>IFERROR(ROUND(L50*M50/10000,4),"")</f>
        <v/>
      </c>
      <c r="J50" s="117" t="str">
        <f>IFERROR(I50*H50,"")</f>
        <v/>
      </c>
      <c r="K50" s="52"/>
      <c r="L50" s="53">
        <f t="shared" si="15"/>
        <v>1</v>
      </c>
      <c r="M50" s="69" t="str">
        <f>IFERROR(O50*N50,"")</f>
        <v/>
      </c>
      <c r="N50" s="55" t="str">
        <f>IFERROR(VLOOKUP(D50,元件库!$B:$O,10,FALSE),"1.00")</f>
        <v>1.00</v>
      </c>
      <c r="O50" s="337" t="str">
        <f>IFERROR(VLOOKUP(D50,元件库!$B:$O,11,FALSE),"")</f>
        <v/>
      </c>
      <c r="P50" s="57" t="str">
        <f>IF(_xlfn.ISFORMULA(O50),"","值")</f>
        <v/>
      </c>
    </row>
    <row r="51" spans="1:17" s="23" customFormat="1" ht="16.5" customHeight="1" x14ac:dyDescent="0.2">
      <c r="A51" s="363">
        <f>COUNTIF(L$1:L51,"!")</f>
        <v>4</v>
      </c>
      <c r="B51" s="364" t="str">
        <f>A51&amp;"."&amp;COUNTIF(A$3:A51,A51)-1</f>
        <v>4.15</v>
      </c>
      <c r="C51" s="100" t="str">
        <f>IFERROR(VLOOKUP(D51,元件库!$B:$O,3,FALSE),"")</f>
        <v>铜排</v>
      </c>
      <c r="D51" s="41" t="s">
        <v>2816</v>
      </c>
      <c r="E51" s="101" t="s">
        <v>2817</v>
      </c>
      <c r="F51" s="101" t="s">
        <v>38</v>
      </c>
      <c r="G51" s="41" t="s">
        <v>39</v>
      </c>
      <c r="H51" s="41">
        <v>11</v>
      </c>
      <c r="I51" s="117">
        <f t="shared" ref="I51:I55" si="19">IFERROR(ROUND(L51*M51/10000,4),"")</f>
        <v>4.0599999999999997E-2</v>
      </c>
      <c r="J51" s="117">
        <f t="shared" ref="J51:J55" si="20">IFERROR(I51*H51,"")</f>
        <v>0.4466</v>
      </c>
      <c r="K51" s="52"/>
      <c r="L51" s="53">
        <f t="shared" si="15"/>
        <v>1</v>
      </c>
      <c r="M51" s="69">
        <f t="shared" ref="M51:M55" si="21">IFERROR(O51*N51,"")</f>
        <v>405.84</v>
      </c>
      <c r="N51" s="55">
        <f>IFERROR(VLOOKUP(D51,元件库!$B:$O,10,FALSE),"1.00")</f>
        <v>1</v>
      </c>
      <c r="O51" s="337">
        <f>IFERROR(VLOOKUP(D51,元件库!$B:$O,11,FALSE),"")</f>
        <v>405.84</v>
      </c>
      <c r="P51" s="57" t="str">
        <f t="shared" ref="P51:P55" si="22">IF(_xlfn.ISFORMULA(O51),"","值")</f>
        <v/>
      </c>
    </row>
    <row r="52" spans="1:17" s="23" customFormat="1" ht="16.5" customHeight="1" x14ac:dyDescent="0.2">
      <c r="A52" s="363">
        <f>COUNTIF(L$1:L52,"!")</f>
        <v>4</v>
      </c>
      <c r="B52" s="364" t="str">
        <f>A52&amp;"."&amp;COUNTIF(A$3:A52,A52)-1</f>
        <v>4.16</v>
      </c>
      <c r="C52" s="100" t="s">
        <v>42</v>
      </c>
      <c r="D52" s="41" t="s">
        <v>2816</v>
      </c>
      <c r="E52" s="101" t="s">
        <v>37</v>
      </c>
      <c r="F52" s="101" t="s">
        <v>38</v>
      </c>
      <c r="G52" s="41" t="s">
        <v>39</v>
      </c>
      <c r="H52" s="41">
        <v>2.4</v>
      </c>
      <c r="I52" s="117">
        <f t="shared" si="19"/>
        <v>4.0599999999999997E-2</v>
      </c>
      <c r="J52" s="117">
        <f t="shared" si="20"/>
        <v>9.7439999999999985E-2</v>
      </c>
      <c r="K52" s="52"/>
      <c r="L52" s="53">
        <f t="shared" si="15"/>
        <v>1</v>
      </c>
      <c r="M52" s="69">
        <f t="shared" si="21"/>
        <v>405.84</v>
      </c>
      <c r="N52" s="55">
        <f>IFERROR(VLOOKUP(D52,元件库!$B:$O,10,FALSE),"1.00")</f>
        <v>1</v>
      </c>
      <c r="O52" s="337">
        <f>IFERROR(VLOOKUP(D52,元件库!$B:$O,11,FALSE),"")</f>
        <v>405.84</v>
      </c>
      <c r="P52" s="57" t="str">
        <f t="shared" si="22"/>
        <v/>
      </c>
    </row>
    <row r="53" spans="1:17" s="23" customFormat="1" ht="16.5" customHeight="1" x14ac:dyDescent="0.2">
      <c r="A53" s="363">
        <f>COUNTIF(L$1:L53,"!")</f>
        <v>4</v>
      </c>
      <c r="B53" s="364" t="str">
        <f>A53&amp;"."&amp;COUNTIF(A$3:A53,A53)-1</f>
        <v>4.17</v>
      </c>
      <c r="C53" s="100" t="s">
        <v>44</v>
      </c>
      <c r="D53" s="41" t="s">
        <v>2816</v>
      </c>
      <c r="E53" s="101" t="s">
        <v>37</v>
      </c>
      <c r="F53" s="101" t="s">
        <v>38</v>
      </c>
      <c r="G53" s="41" t="s">
        <v>39</v>
      </c>
      <c r="H53" s="41">
        <v>2.2999999999999998</v>
      </c>
      <c r="I53" s="117">
        <f t="shared" si="19"/>
        <v>4.0599999999999997E-2</v>
      </c>
      <c r="J53" s="117">
        <f t="shared" si="20"/>
        <v>9.3379999999999991E-2</v>
      </c>
      <c r="K53" s="52"/>
      <c r="L53" s="53">
        <f t="shared" si="15"/>
        <v>1</v>
      </c>
      <c r="M53" s="69">
        <f t="shared" si="21"/>
        <v>405.84</v>
      </c>
      <c r="N53" s="55">
        <f>IFERROR(VLOOKUP(D53,元件库!$B:$O,10,FALSE),"1.00")</f>
        <v>1</v>
      </c>
      <c r="O53" s="337">
        <f>IFERROR(VLOOKUP(D53,元件库!$B:$O,11,FALSE),"")</f>
        <v>405.84</v>
      </c>
      <c r="P53" s="57" t="str">
        <f t="shared" si="22"/>
        <v/>
      </c>
    </row>
    <row r="54" spans="1:17" s="23" customFormat="1" ht="16.5" customHeight="1" x14ac:dyDescent="0.2">
      <c r="A54" s="363">
        <f>COUNTIF(L$1:L54,"!")</f>
        <v>4</v>
      </c>
      <c r="B54" s="364" t="str">
        <f>A54&amp;"."&amp;COUNTIF(A$3:A54,A54)-1</f>
        <v>4.18</v>
      </c>
      <c r="C54" s="100" t="s">
        <v>45</v>
      </c>
      <c r="D54" s="41" t="s">
        <v>2833</v>
      </c>
      <c r="E54" s="101" t="s">
        <v>37</v>
      </c>
      <c r="F54" s="101" t="s">
        <v>38</v>
      </c>
      <c r="G54" s="41" t="s">
        <v>39</v>
      </c>
      <c r="H54" s="41">
        <v>0.8</v>
      </c>
      <c r="I54" s="117">
        <f t="shared" si="19"/>
        <v>1.83E-2</v>
      </c>
      <c r="J54" s="117">
        <f t="shared" si="20"/>
        <v>1.464E-2</v>
      </c>
      <c r="K54" s="52"/>
      <c r="L54" s="53">
        <f t="shared" si="15"/>
        <v>1</v>
      </c>
      <c r="M54" s="69">
        <f t="shared" si="21"/>
        <v>182.62799999999999</v>
      </c>
      <c r="N54" s="55">
        <f>IFERROR(VLOOKUP(D54,元件库!$B:$O,10,FALSE),"1.00")</f>
        <v>1</v>
      </c>
      <c r="O54" s="337">
        <f>IFERROR(VLOOKUP(D54,元件库!$B:$O,11,FALSE),"")</f>
        <v>182.62799999999999</v>
      </c>
      <c r="P54" s="57" t="str">
        <f t="shared" si="22"/>
        <v/>
      </c>
    </row>
    <row r="55" spans="1:17" s="23" customFormat="1" ht="16.5" customHeight="1" x14ac:dyDescent="0.2">
      <c r="A55" s="363">
        <f>COUNTIF(L$1:L55,"!")</f>
        <v>4</v>
      </c>
      <c r="B55" s="364" t="str">
        <f>A55&amp;"."&amp;COUNTIF(A$3:A55,A55)-1</f>
        <v>4.19</v>
      </c>
      <c r="C55" s="100" t="s">
        <v>51</v>
      </c>
      <c r="D55" s="41"/>
      <c r="E55" s="101"/>
      <c r="F55" s="101"/>
      <c r="G55" s="41" t="s">
        <v>2812</v>
      </c>
      <c r="H55" s="41">
        <v>1</v>
      </c>
      <c r="I55" s="117">
        <f t="shared" si="19"/>
        <v>0.11</v>
      </c>
      <c r="J55" s="117">
        <f t="shared" si="20"/>
        <v>0.11</v>
      </c>
      <c r="K55" s="52"/>
      <c r="L55" s="53">
        <f t="shared" si="15"/>
        <v>1</v>
      </c>
      <c r="M55" s="69">
        <f t="shared" si="21"/>
        <v>1100</v>
      </c>
      <c r="N55" s="55">
        <v>1</v>
      </c>
      <c r="O55" s="337">
        <v>1100</v>
      </c>
      <c r="P55" s="57" t="str">
        <f t="shared" si="22"/>
        <v>值</v>
      </c>
    </row>
    <row r="56" spans="1:17" s="23" customFormat="1" ht="27" customHeight="1" x14ac:dyDescent="0.2">
      <c r="A56" s="363">
        <f>COUNTIF(L$1:L56,"!")</f>
        <v>4</v>
      </c>
      <c r="B56" s="364" t="str">
        <f>A56&amp;"."&amp;COUNTIF(A$3:A56,A56)-1</f>
        <v>4.20</v>
      </c>
      <c r="C56" s="103" t="s">
        <v>53</v>
      </c>
      <c r="D56" s="104"/>
      <c r="E56" s="365"/>
      <c r="F56" s="101"/>
      <c r="G56" s="104"/>
      <c r="H56" s="104" t="s">
        <v>1</v>
      </c>
      <c r="I56" s="118" t="s">
        <v>52</v>
      </c>
      <c r="J56" s="366"/>
      <c r="K56" s="104"/>
      <c r="L56" s="53"/>
      <c r="M56" s="119"/>
      <c r="N56" s="70"/>
      <c r="O56" s="337"/>
    </row>
    <row r="57" spans="1:17" s="30" customFormat="1" ht="27" customHeight="1" x14ac:dyDescent="0.2">
      <c r="A57" s="363">
        <f>COUNTIF(L$1:L57,"!")</f>
        <v>4</v>
      </c>
      <c r="B57" s="364" t="str">
        <f>A57&amp;"."&amp;COUNTIF(A$3:A57,A57)-1</f>
        <v>4.21</v>
      </c>
      <c r="C57" s="103" t="s">
        <v>54</v>
      </c>
      <c r="D57" s="104"/>
      <c r="E57" s="365"/>
      <c r="F57" s="101"/>
      <c r="G57" s="104"/>
      <c r="H57" s="104"/>
      <c r="I57" s="118" t="s">
        <v>1</v>
      </c>
      <c r="J57" s="120">
        <f>SUM(J37:J56)</f>
        <v>1.5017600000000002</v>
      </c>
      <c r="K57" s="104"/>
      <c r="L57" s="53"/>
      <c r="M57" s="119"/>
      <c r="N57" s="70"/>
      <c r="O57" s="337"/>
      <c r="Q57" s="90"/>
    </row>
    <row r="58" spans="1:17" s="23" customFormat="1" ht="16.5" customHeight="1" x14ac:dyDescent="0.15">
      <c r="A58" s="97">
        <f>COUNTIF(L$1:L58,"!")</f>
        <v>5</v>
      </c>
      <c r="B58" s="32" t="str">
        <f>COUNTIF(L$2:L59,"!")&amp;"."</f>
        <v>5.</v>
      </c>
      <c r="C58" s="47" t="s">
        <v>2834</v>
      </c>
      <c r="D58" s="35" t="str">
        <f>D59</f>
        <v>GGD-800*600*2000</v>
      </c>
      <c r="E58" s="367" t="s">
        <v>22</v>
      </c>
      <c r="F58" s="367" t="s">
        <v>3261</v>
      </c>
      <c r="G58" s="34" t="s">
        <v>23</v>
      </c>
      <c r="H58" s="98">
        <v>1</v>
      </c>
      <c r="I58" s="115">
        <f>LOOKUP(0,0/((A58:A132=A58)*(C58:C132="合计金额（单位完整货物单价）")),J58:J132)</f>
        <v>1.51386</v>
      </c>
      <c r="J58" s="116">
        <f>IFERROR(I58*H58,"")</f>
        <v>1.51386</v>
      </c>
      <c r="K58" s="34"/>
      <c r="L58" s="48" t="s">
        <v>24</v>
      </c>
      <c r="M58" s="49"/>
      <c r="N58" s="50"/>
      <c r="O58" s="51"/>
      <c r="Q58" s="360">
        <f>COUNTIF(L$3:L58,"#")</f>
        <v>1</v>
      </c>
    </row>
    <row r="59" spans="1:17" s="23" customFormat="1" ht="16.5" customHeight="1" x14ac:dyDescent="0.2">
      <c r="A59" s="363">
        <f>COUNTIF(L$1:L59,"!")</f>
        <v>5</v>
      </c>
      <c r="B59" s="364" t="str">
        <f>A59&amp;"."&amp;COUNTIF(A$3:A59,A59)-1</f>
        <v>5.1</v>
      </c>
      <c r="C59" s="100" t="str">
        <f>IFERROR(VLOOKUP(D59,元件库!$B:$O,3,FALSE),"")</f>
        <v>壳体W*D*H</v>
      </c>
      <c r="D59" s="41" t="s">
        <v>181</v>
      </c>
      <c r="E59" s="101" t="s">
        <v>2821</v>
      </c>
      <c r="F59" s="101" t="s">
        <v>3261</v>
      </c>
      <c r="G59" s="41" t="s">
        <v>23</v>
      </c>
      <c r="H59" s="41">
        <v>1</v>
      </c>
      <c r="I59" s="117">
        <f>IFERROR(ROUND(L59*M59/10000,4),"")</f>
        <v>0.155</v>
      </c>
      <c r="J59" s="117">
        <f t="shared" ref="J59:J62" si="23">IFERROR(I59*H59,"")</f>
        <v>0.155</v>
      </c>
      <c r="K59" s="52"/>
      <c r="L59" s="53">
        <f t="shared" ref="L59:L68" si="24">L$2</f>
        <v>1</v>
      </c>
      <c r="M59" s="69">
        <f t="shared" ref="M59:M62" si="25">IFERROR(O59*N59,"")</f>
        <v>1550</v>
      </c>
      <c r="N59" s="55">
        <f>IFERROR(VLOOKUP(D59,元件库!$B:$O,10,FALSE),"1.00")</f>
        <v>1</v>
      </c>
      <c r="O59" s="337">
        <f>IFERROR(VLOOKUP(D59,元件库!$B:$O,11,FALSE),"")</f>
        <v>1550</v>
      </c>
      <c r="P59" s="57" t="str">
        <f t="shared" ref="P59:P62" si="26">IF(_xlfn.ISFORMULA(O59),"","值")</f>
        <v/>
      </c>
      <c r="Q59" s="90"/>
    </row>
    <row r="60" spans="1:17" s="23" customFormat="1" ht="16.5" customHeight="1" x14ac:dyDescent="0.2">
      <c r="A60" s="363">
        <f>COUNTIF(L$1:L60,"!")</f>
        <v>5</v>
      </c>
      <c r="B60" s="364" t="str">
        <f>A60&amp;"."&amp;COUNTIF(A$3:A60,A60)-1</f>
        <v>5.2</v>
      </c>
      <c r="C60" s="100" t="str">
        <f>IFERROR(VLOOKUP(D60,元件库!$B:$O,3,FALSE),"")</f>
        <v>双电源开关</v>
      </c>
      <c r="D60" s="41" t="s">
        <v>2835</v>
      </c>
      <c r="E60" s="101" t="s">
        <v>2821</v>
      </c>
      <c r="F60" s="101" t="s">
        <v>28</v>
      </c>
      <c r="G60" s="41" t="s">
        <v>29</v>
      </c>
      <c r="H60" s="41">
        <v>1</v>
      </c>
      <c r="I60" s="117">
        <f t="shared" ref="I60:I62" si="27">IFERROR(ROUND(L60*M60/10000,4),"")</f>
        <v>0.36749999999999999</v>
      </c>
      <c r="J60" s="117">
        <f t="shared" si="23"/>
        <v>0.36749999999999999</v>
      </c>
      <c r="K60" s="52"/>
      <c r="L60" s="53">
        <f t="shared" si="24"/>
        <v>1</v>
      </c>
      <c r="M60" s="69">
        <f t="shared" si="25"/>
        <v>3675</v>
      </c>
      <c r="N60" s="55">
        <f>IFERROR(VLOOKUP(D60,元件库!$B:$O,10,FALSE),"1.00")</f>
        <v>1</v>
      </c>
      <c r="O60" s="337">
        <f>IFERROR(VLOOKUP(D60,元件库!$B:$O,11,FALSE),"")</f>
        <v>3675</v>
      </c>
      <c r="P60" s="57" t="str">
        <f t="shared" si="26"/>
        <v/>
      </c>
      <c r="Q60" s="90"/>
    </row>
    <row r="61" spans="1:17" s="23" customFormat="1" ht="16.5" customHeight="1" x14ac:dyDescent="0.2">
      <c r="A61" s="363">
        <f>COUNTIF(L$1:L61,"!")</f>
        <v>5</v>
      </c>
      <c r="B61" s="364" t="str">
        <f>A61&amp;"."&amp;COUNTIF(A$3:A61,A61)-1</f>
        <v>5.3</v>
      </c>
      <c r="C61" s="100" t="str">
        <f>IFERROR(VLOOKUP(D61,元件库!$B:$O,3,FALSE),"")</f>
        <v/>
      </c>
      <c r="D61" s="41" t="s">
        <v>2829</v>
      </c>
      <c r="E61" s="101" t="s">
        <v>2821</v>
      </c>
      <c r="F61" s="101" t="s">
        <v>32</v>
      </c>
      <c r="G61" s="41" t="s">
        <v>29</v>
      </c>
      <c r="H61" s="41">
        <v>4</v>
      </c>
      <c r="I61" s="117" t="str">
        <f t="shared" si="27"/>
        <v/>
      </c>
      <c r="J61" s="117" t="str">
        <f t="shared" si="23"/>
        <v/>
      </c>
      <c r="K61" s="52"/>
      <c r="L61" s="53">
        <f t="shared" si="24"/>
        <v>1</v>
      </c>
      <c r="M61" s="69" t="str">
        <f t="shared" si="25"/>
        <v/>
      </c>
      <c r="N61" s="55" t="str">
        <f>IFERROR(VLOOKUP(D61,元件库!$B:$O,10,FALSE),"1.00")</f>
        <v>1.00</v>
      </c>
      <c r="O61" s="337" t="str">
        <f>IFERROR(VLOOKUP(D61,元件库!$B:$O,11,FALSE),"")</f>
        <v/>
      </c>
      <c r="P61" s="57" t="str">
        <f t="shared" si="26"/>
        <v/>
      </c>
    </row>
    <row r="62" spans="1:17" s="23" customFormat="1" ht="16.5" customHeight="1" x14ac:dyDescent="0.2">
      <c r="A62" s="363">
        <f>COUNTIF(L$1:L62,"!")</f>
        <v>5</v>
      </c>
      <c r="B62" s="364" t="str">
        <f>A62&amp;"."&amp;COUNTIF(A$3:A62,A62)-1</f>
        <v>5.4</v>
      </c>
      <c r="C62" s="100" t="str">
        <f>IFERROR(VLOOKUP(D62,元件库!$B:$O,3,FALSE),"")</f>
        <v>电流.电压表</v>
      </c>
      <c r="D62" s="41" t="s">
        <v>145</v>
      </c>
      <c r="E62" s="101" t="s">
        <v>2821</v>
      </c>
      <c r="F62" s="101" t="s">
        <v>32</v>
      </c>
      <c r="G62" s="41" t="s">
        <v>29</v>
      </c>
      <c r="H62" s="41">
        <v>4</v>
      </c>
      <c r="I62" s="117">
        <f t="shared" si="27"/>
        <v>1.4E-3</v>
      </c>
      <c r="J62" s="117">
        <f t="shared" si="23"/>
        <v>5.5999999999999999E-3</v>
      </c>
      <c r="K62" s="52"/>
      <c r="L62" s="53">
        <f t="shared" si="24"/>
        <v>1</v>
      </c>
      <c r="M62" s="69">
        <f t="shared" si="25"/>
        <v>13.750000000000002</v>
      </c>
      <c r="N62" s="55">
        <f>IFERROR(VLOOKUP(D62,元件库!$B:$O,10,FALSE),"1.00")</f>
        <v>0.55000000000000004</v>
      </c>
      <c r="O62" s="337">
        <f>IFERROR(VLOOKUP(D62,元件库!$B:$O,11,FALSE),"")</f>
        <v>25</v>
      </c>
      <c r="P62" s="57" t="str">
        <f t="shared" si="26"/>
        <v/>
      </c>
    </row>
    <row r="63" spans="1:17" s="23" customFormat="1" ht="16.5" customHeight="1" x14ac:dyDescent="0.2">
      <c r="A63" s="363">
        <f>COUNTIF(L$1:L63,"!")</f>
        <v>5</v>
      </c>
      <c r="B63" s="364" t="str">
        <f>A63&amp;"."&amp;COUNTIF(A$3:A63,A63)-1</f>
        <v>5.5</v>
      </c>
      <c r="C63" s="100" t="str">
        <f>IFERROR(VLOOKUP(D63,元件库!$B:$O,3,FALSE),"")</f>
        <v>指示灯</v>
      </c>
      <c r="D63" s="41" t="s">
        <v>35</v>
      </c>
      <c r="E63" s="101" t="s">
        <v>2821</v>
      </c>
      <c r="F63" s="101" t="s">
        <v>32</v>
      </c>
      <c r="G63" s="41" t="s">
        <v>29</v>
      </c>
      <c r="H63" s="41">
        <v>2</v>
      </c>
      <c r="I63" s="117">
        <f>IFERROR(ROUND(L63*M63/10000,4),"")</f>
        <v>2.0000000000000001E-4</v>
      </c>
      <c r="J63" s="117">
        <f>IFERROR(I63*H63,"")</f>
        <v>4.0000000000000002E-4</v>
      </c>
      <c r="K63" s="52"/>
      <c r="L63" s="53">
        <f t="shared" si="24"/>
        <v>1</v>
      </c>
      <c r="M63" s="69">
        <f>IFERROR(O63*N63,"")</f>
        <v>2.3100000000000005</v>
      </c>
      <c r="N63" s="55">
        <f>IFERROR(VLOOKUP(D63,元件库!$B:$O,10,FALSE),"1.00")</f>
        <v>0.55000000000000004</v>
      </c>
      <c r="O63" s="337">
        <f>IFERROR(VLOOKUP(D63,元件库!$B:$O,11,FALSE),"")</f>
        <v>4.2</v>
      </c>
      <c r="P63" s="57" t="str">
        <f>IF(_xlfn.ISFORMULA(O63),"","值")</f>
        <v/>
      </c>
    </row>
    <row r="64" spans="1:17" s="23" customFormat="1" ht="16.5" customHeight="1" x14ac:dyDescent="0.2">
      <c r="A64" s="363">
        <f>COUNTIF(L$1:L64,"!")</f>
        <v>5</v>
      </c>
      <c r="B64" s="364" t="str">
        <f>A64&amp;"."&amp;COUNTIF(A$3:A64,A64)-1</f>
        <v>5.6</v>
      </c>
      <c r="C64" s="100" t="str">
        <f>IFERROR(VLOOKUP(D64,元件库!$B:$O,3,FALSE),"")</f>
        <v>铜排</v>
      </c>
      <c r="D64" s="41" t="s">
        <v>2816</v>
      </c>
      <c r="E64" s="101" t="s">
        <v>2817</v>
      </c>
      <c r="F64" s="101" t="s">
        <v>38</v>
      </c>
      <c r="G64" s="41" t="s">
        <v>39</v>
      </c>
      <c r="H64" s="41">
        <v>18</v>
      </c>
      <c r="I64" s="117">
        <f t="shared" ref="I64:I68" si="28">IFERROR(ROUND(L64*M64/10000,4),"")</f>
        <v>4.0599999999999997E-2</v>
      </c>
      <c r="J64" s="117">
        <f t="shared" ref="J64:J68" si="29">IFERROR(I64*H64,"")</f>
        <v>0.73079999999999989</v>
      </c>
      <c r="K64" s="52"/>
      <c r="L64" s="53">
        <f t="shared" si="24"/>
        <v>1</v>
      </c>
      <c r="M64" s="69">
        <f t="shared" ref="M64:M68" si="30">IFERROR(O64*N64,"")</f>
        <v>405.84</v>
      </c>
      <c r="N64" s="55">
        <f>IFERROR(VLOOKUP(D64,元件库!$B:$O,10,FALSE),"1.00")</f>
        <v>1</v>
      </c>
      <c r="O64" s="337">
        <f>IFERROR(VLOOKUP(D64,元件库!$B:$O,11,FALSE),"")</f>
        <v>405.84</v>
      </c>
      <c r="P64" s="57" t="str">
        <f t="shared" ref="P64:P68" si="31">IF(_xlfn.ISFORMULA(O64),"","值")</f>
        <v/>
      </c>
    </row>
    <row r="65" spans="1:17" s="23" customFormat="1" ht="16.5" customHeight="1" x14ac:dyDescent="0.2">
      <c r="A65" s="363">
        <f>COUNTIF(L$1:L65,"!")</f>
        <v>5</v>
      </c>
      <c r="B65" s="364" t="str">
        <f>A65&amp;"."&amp;COUNTIF(A$3:A65,A65)-1</f>
        <v>5.7</v>
      </c>
      <c r="C65" s="100" t="s">
        <v>42</v>
      </c>
      <c r="D65" s="41" t="s">
        <v>2816</v>
      </c>
      <c r="E65" s="101" t="s">
        <v>37</v>
      </c>
      <c r="F65" s="101" t="s">
        <v>38</v>
      </c>
      <c r="G65" s="41" t="s">
        <v>39</v>
      </c>
      <c r="H65" s="41">
        <v>2.4</v>
      </c>
      <c r="I65" s="117">
        <f t="shared" si="28"/>
        <v>4.0599999999999997E-2</v>
      </c>
      <c r="J65" s="117">
        <f t="shared" si="29"/>
        <v>9.7439999999999985E-2</v>
      </c>
      <c r="K65" s="52"/>
      <c r="L65" s="53">
        <f t="shared" si="24"/>
        <v>1</v>
      </c>
      <c r="M65" s="69">
        <f t="shared" si="30"/>
        <v>405.84</v>
      </c>
      <c r="N65" s="55">
        <f>IFERROR(VLOOKUP(D65,元件库!$B:$O,10,FALSE),"1.00")</f>
        <v>1</v>
      </c>
      <c r="O65" s="337">
        <f>IFERROR(VLOOKUP(D65,元件库!$B:$O,11,FALSE),"")</f>
        <v>405.84</v>
      </c>
      <c r="P65" s="57" t="str">
        <f t="shared" si="31"/>
        <v/>
      </c>
    </row>
    <row r="66" spans="1:17" s="23" customFormat="1" ht="16.5" customHeight="1" x14ac:dyDescent="0.2">
      <c r="A66" s="363">
        <f>COUNTIF(L$1:L66,"!")</f>
        <v>5</v>
      </c>
      <c r="B66" s="364" t="str">
        <f>A66&amp;"."&amp;COUNTIF(A$3:A66,A66)-1</f>
        <v>5.8</v>
      </c>
      <c r="C66" s="100" t="s">
        <v>44</v>
      </c>
      <c r="D66" s="41" t="s">
        <v>2816</v>
      </c>
      <c r="E66" s="101" t="s">
        <v>37</v>
      </c>
      <c r="F66" s="101" t="s">
        <v>38</v>
      </c>
      <c r="G66" s="41" t="s">
        <v>39</v>
      </c>
      <c r="H66" s="41">
        <v>0.8</v>
      </c>
      <c r="I66" s="117">
        <f t="shared" si="28"/>
        <v>4.0599999999999997E-2</v>
      </c>
      <c r="J66" s="117">
        <f t="shared" si="29"/>
        <v>3.2480000000000002E-2</v>
      </c>
      <c r="K66" s="52"/>
      <c r="L66" s="53">
        <f t="shared" si="24"/>
        <v>1</v>
      </c>
      <c r="M66" s="69">
        <f t="shared" si="30"/>
        <v>405.84</v>
      </c>
      <c r="N66" s="55">
        <f>IFERROR(VLOOKUP(D66,元件库!$B:$O,10,FALSE),"1.00")</f>
        <v>1</v>
      </c>
      <c r="O66" s="337">
        <f>IFERROR(VLOOKUP(D66,元件库!$B:$O,11,FALSE),"")</f>
        <v>405.84</v>
      </c>
      <c r="P66" s="57" t="str">
        <f t="shared" si="31"/>
        <v/>
      </c>
    </row>
    <row r="67" spans="1:17" s="23" customFormat="1" ht="16.5" customHeight="1" x14ac:dyDescent="0.2">
      <c r="A67" s="363">
        <f>COUNTIF(L$1:L67,"!")</f>
        <v>5</v>
      </c>
      <c r="B67" s="364" t="str">
        <f>A67&amp;"."&amp;COUNTIF(A$3:A67,A67)-1</f>
        <v>5.9</v>
      </c>
      <c r="C67" s="100" t="s">
        <v>45</v>
      </c>
      <c r="D67" s="41" t="s">
        <v>2833</v>
      </c>
      <c r="E67" s="101" t="s">
        <v>37</v>
      </c>
      <c r="F67" s="101" t="s">
        <v>38</v>
      </c>
      <c r="G67" s="41" t="s">
        <v>39</v>
      </c>
      <c r="H67" s="41">
        <v>0.8</v>
      </c>
      <c r="I67" s="117">
        <f t="shared" si="28"/>
        <v>1.83E-2</v>
      </c>
      <c r="J67" s="117">
        <f t="shared" si="29"/>
        <v>1.464E-2</v>
      </c>
      <c r="K67" s="52"/>
      <c r="L67" s="53">
        <f t="shared" si="24"/>
        <v>1</v>
      </c>
      <c r="M67" s="69">
        <f t="shared" si="30"/>
        <v>182.62799999999999</v>
      </c>
      <c r="N67" s="55">
        <f>IFERROR(VLOOKUP(D67,元件库!$B:$O,10,FALSE),"1.00")</f>
        <v>1</v>
      </c>
      <c r="O67" s="337">
        <f>IFERROR(VLOOKUP(D67,元件库!$B:$O,11,FALSE),"")</f>
        <v>182.62799999999999</v>
      </c>
      <c r="P67" s="57" t="str">
        <f t="shared" si="31"/>
        <v/>
      </c>
    </row>
    <row r="68" spans="1:17" s="23" customFormat="1" ht="16.5" customHeight="1" x14ac:dyDescent="0.2">
      <c r="A68" s="363">
        <f>COUNTIF(L$1:L68,"!")</f>
        <v>5</v>
      </c>
      <c r="B68" s="364" t="str">
        <f>A68&amp;"."&amp;COUNTIF(A$3:A68,A68)-1</f>
        <v>5.10</v>
      </c>
      <c r="C68" s="100" t="s">
        <v>51</v>
      </c>
      <c r="D68" s="41"/>
      <c r="E68" s="101"/>
      <c r="F68" s="101"/>
      <c r="G68" s="41" t="s">
        <v>2812</v>
      </c>
      <c r="H68" s="41">
        <v>1</v>
      </c>
      <c r="I68" s="117">
        <f t="shared" si="28"/>
        <v>0.11</v>
      </c>
      <c r="J68" s="117">
        <f t="shared" si="29"/>
        <v>0.11</v>
      </c>
      <c r="K68" s="52"/>
      <c r="L68" s="53">
        <f t="shared" si="24"/>
        <v>1</v>
      </c>
      <c r="M68" s="69">
        <f t="shared" si="30"/>
        <v>1100</v>
      </c>
      <c r="N68" s="55">
        <v>1</v>
      </c>
      <c r="O68" s="337">
        <v>1100</v>
      </c>
      <c r="P68" s="57" t="str">
        <f t="shared" si="31"/>
        <v>值</v>
      </c>
    </row>
    <row r="69" spans="1:17" s="23" customFormat="1" ht="27" customHeight="1" x14ac:dyDescent="0.2">
      <c r="A69" s="363">
        <f>COUNTIF(L$1:L69,"!")</f>
        <v>5</v>
      </c>
      <c r="B69" s="364" t="str">
        <f>A69&amp;"."&amp;COUNTIF(A$3:A69,A69)-1</f>
        <v>5.11</v>
      </c>
      <c r="C69" s="103" t="s">
        <v>53</v>
      </c>
      <c r="D69" s="104"/>
      <c r="E69" s="365"/>
      <c r="F69" s="101"/>
      <c r="G69" s="104"/>
      <c r="H69" s="104" t="s">
        <v>1</v>
      </c>
      <c r="I69" s="118" t="s">
        <v>52</v>
      </c>
      <c r="J69" s="366"/>
      <c r="K69" s="104"/>
      <c r="L69" s="53"/>
      <c r="M69" s="119"/>
      <c r="N69" s="70"/>
      <c r="O69" s="337"/>
    </row>
    <row r="70" spans="1:17" s="30" customFormat="1" ht="27" customHeight="1" x14ac:dyDescent="0.2">
      <c r="A70" s="363">
        <f>COUNTIF(L$1:L70,"!")</f>
        <v>5</v>
      </c>
      <c r="B70" s="364" t="str">
        <f>A70&amp;"."&amp;COUNTIF(A$3:A70,A70)-1</f>
        <v>5.12</v>
      </c>
      <c r="C70" s="103" t="s">
        <v>54</v>
      </c>
      <c r="D70" s="104"/>
      <c r="E70" s="365"/>
      <c r="F70" s="101"/>
      <c r="G70" s="104"/>
      <c r="H70" s="104"/>
      <c r="I70" s="118" t="s">
        <v>1</v>
      </c>
      <c r="J70" s="120">
        <f>SUM(J59:J69)</f>
        <v>1.51386</v>
      </c>
      <c r="K70" s="104"/>
      <c r="L70" s="53"/>
      <c r="M70" s="119"/>
      <c r="N70" s="70"/>
      <c r="O70" s="337"/>
      <c r="Q70" s="90"/>
    </row>
    <row r="71" spans="1:17" s="23" customFormat="1" ht="16.5" customHeight="1" x14ac:dyDescent="0.15">
      <c r="A71" s="97">
        <f>COUNTIF(L$1:L71,"!")</f>
        <v>6</v>
      </c>
      <c r="B71" s="32" t="str">
        <f>COUNTIF(L$2:L72,"!")&amp;"."</f>
        <v>6.</v>
      </c>
      <c r="C71" s="47" t="s">
        <v>2836</v>
      </c>
      <c r="D71" s="35" t="str">
        <f>D72</f>
        <v>GGD-800*600*2000</v>
      </c>
      <c r="E71" s="367" t="s">
        <v>22</v>
      </c>
      <c r="F71" s="367" t="s">
        <v>3261</v>
      </c>
      <c r="G71" s="34" t="s">
        <v>23</v>
      </c>
      <c r="H71" s="98">
        <v>1</v>
      </c>
      <c r="I71" s="115">
        <f>LOOKUP(0,0/((A71:A108=A71)*(C71:C108="合计金额（单位完整货物单价）")),J71:J108)</f>
        <v>1.03424</v>
      </c>
      <c r="J71" s="116">
        <f>IFERROR(I71*H71,"")</f>
        <v>1.03424</v>
      </c>
      <c r="K71" s="34"/>
      <c r="L71" s="48" t="s">
        <v>24</v>
      </c>
      <c r="M71" s="49"/>
      <c r="N71" s="50"/>
      <c r="O71" s="51"/>
      <c r="Q71" s="360">
        <f>COUNTIF(L$3:L71,"#")</f>
        <v>1</v>
      </c>
    </row>
    <row r="72" spans="1:17" s="23" customFormat="1" ht="16.5" customHeight="1" x14ac:dyDescent="0.2">
      <c r="A72" s="363">
        <f>COUNTIF(L$1:L72,"!")</f>
        <v>6</v>
      </c>
      <c r="B72" s="364" t="str">
        <f>A72&amp;"."&amp;COUNTIF(A$3:A72,A72)-1</f>
        <v>6.1</v>
      </c>
      <c r="C72" s="100" t="s">
        <v>25</v>
      </c>
      <c r="D72" s="41" t="s">
        <v>2837</v>
      </c>
      <c r="E72" s="101" t="s">
        <v>22</v>
      </c>
      <c r="F72" s="101" t="s">
        <v>3261</v>
      </c>
      <c r="G72" s="41" t="s">
        <v>23</v>
      </c>
      <c r="H72" s="41">
        <v>1</v>
      </c>
      <c r="I72" s="117">
        <f>IFERROR(ROUND(L72*M72/10000,4),"")</f>
        <v>0.155</v>
      </c>
      <c r="J72" s="117">
        <f t="shared" ref="J72:J87" si="32">IFERROR(I72*H72,"")</f>
        <v>0.155</v>
      </c>
      <c r="K72" s="52"/>
      <c r="L72" s="53">
        <f t="shared" ref="L72:L87" si="33">L$2</f>
        <v>1</v>
      </c>
      <c r="M72" s="69">
        <f t="shared" ref="M72:M87" si="34">IFERROR(O72*N72,"")</f>
        <v>1550</v>
      </c>
      <c r="N72" s="55">
        <f>IFERROR(VLOOKUP(D72,元件库!$B:$O,10,FALSE),"1.00")</f>
        <v>1</v>
      </c>
      <c r="O72" s="337">
        <f>IFERROR(VLOOKUP(D72,元件库!$B:$O,11,FALSE),"")</f>
        <v>1550</v>
      </c>
      <c r="P72" s="57" t="str">
        <f t="shared" ref="P72:P87" si="35">IF(_xlfn.ISFORMULA(O72),"","值")</f>
        <v/>
      </c>
      <c r="Q72" s="90"/>
    </row>
    <row r="73" spans="1:17" s="23" customFormat="1" ht="16.5" customHeight="1" x14ac:dyDescent="0.2">
      <c r="A73" s="363">
        <f>COUNTIF(L$1:L73,"!")</f>
        <v>6</v>
      </c>
      <c r="B73" s="364" t="str">
        <f>A73&amp;"."&amp;COUNTIF(A$3:A73,A73)-1</f>
        <v>6.2</v>
      </c>
      <c r="C73" s="100" t="str">
        <f>IFERROR(VLOOKUP(D73,元件库!$B:$O,3,FALSE),"")</f>
        <v>刀开关</v>
      </c>
      <c r="D73" s="41" t="s">
        <v>2838</v>
      </c>
      <c r="E73" s="101" t="s">
        <v>22</v>
      </c>
      <c r="F73" s="101" t="s">
        <v>32</v>
      </c>
      <c r="G73" s="41" t="s">
        <v>29</v>
      </c>
      <c r="H73" s="41">
        <v>1</v>
      </c>
      <c r="I73" s="117">
        <f t="shared" ref="I73:I87" si="36">IFERROR(ROUND(L73*M73/10000,4),"")</f>
        <v>9.2999999999999999E-2</v>
      </c>
      <c r="J73" s="117">
        <f t="shared" si="32"/>
        <v>9.2999999999999999E-2</v>
      </c>
      <c r="K73" s="52"/>
      <c r="L73" s="53">
        <f t="shared" si="33"/>
        <v>1</v>
      </c>
      <c r="M73" s="69">
        <f t="shared" si="34"/>
        <v>929.50000000000011</v>
      </c>
      <c r="N73" s="55">
        <f>IFERROR(VLOOKUP(D73,元件库!$B:$O,10,FALSE),"1.00")</f>
        <v>0.55000000000000004</v>
      </c>
      <c r="O73" s="337">
        <f>IFERROR(VLOOKUP(D73,元件库!$B:$O,11,FALSE),"")</f>
        <v>1690</v>
      </c>
      <c r="P73" s="57" t="str">
        <f t="shared" si="35"/>
        <v/>
      </c>
      <c r="Q73" s="90"/>
    </row>
    <row r="74" spans="1:17" s="23" customFormat="1" ht="16.5" customHeight="1" x14ac:dyDescent="0.2">
      <c r="A74" s="363">
        <f>COUNTIF(L$1:L74,"!")</f>
        <v>6</v>
      </c>
      <c r="B74" s="364" t="str">
        <f>A74&amp;"."&amp;COUNTIF(A$3:A74,A74)-1</f>
        <v>6.3</v>
      </c>
      <c r="C74" s="100" t="str">
        <f>IFERROR(VLOOKUP(D74,元件库!$B:$O,3,FALSE),"")</f>
        <v>塑壳断路器</v>
      </c>
      <c r="D74" s="41" t="s">
        <v>2839</v>
      </c>
      <c r="E74" s="101" t="s">
        <v>22</v>
      </c>
      <c r="F74" s="101" t="s">
        <v>28</v>
      </c>
      <c r="G74" s="41" t="s">
        <v>29</v>
      </c>
      <c r="H74" s="41">
        <v>1</v>
      </c>
      <c r="I74" s="117">
        <f t="shared" si="36"/>
        <v>9.98E-2</v>
      </c>
      <c r="J74" s="117">
        <f t="shared" si="32"/>
        <v>9.98E-2</v>
      </c>
      <c r="K74" s="52"/>
      <c r="L74" s="53">
        <f t="shared" si="33"/>
        <v>1</v>
      </c>
      <c r="M74" s="69">
        <f t="shared" si="34"/>
        <v>998</v>
      </c>
      <c r="N74" s="55">
        <f>IFERROR(VLOOKUP(D74,元件库!$B:$O,10,FALSE),"1.00")</f>
        <v>1</v>
      </c>
      <c r="O74" s="337">
        <f>IFERROR(VLOOKUP(D74,元件库!$B:$O,11,FALSE),"")</f>
        <v>998</v>
      </c>
      <c r="P74" s="57" t="str">
        <f t="shared" si="35"/>
        <v/>
      </c>
      <c r="Q74" s="90"/>
    </row>
    <row r="75" spans="1:17" s="23" customFormat="1" ht="16.5" customHeight="1" x14ac:dyDescent="0.2">
      <c r="A75" s="363">
        <f>COUNTIF(L$1:L75,"!")</f>
        <v>6</v>
      </c>
      <c r="B75" s="364" t="str">
        <f>A75&amp;"."&amp;COUNTIF(A$3:A75,A75)-1</f>
        <v>6.4</v>
      </c>
      <c r="C75" s="100" t="str">
        <f>IFERROR(VLOOKUP(D75,元件库!$B:$O,3,FALSE),"")</f>
        <v>塑壳断路器</v>
      </c>
      <c r="D75" s="41" t="s">
        <v>2840</v>
      </c>
      <c r="E75" s="101" t="s">
        <v>22</v>
      </c>
      <c r="F75" s="101" t="s">
        <v>28</v>
      </c>
      <c r="G75" s="41" t="s">
        <v>29</v>
      </c>
      <c r="H75" s="41">
        <v>2</v>
      </c>
      <c r="I75" s="117">
        <f t="shared" si="36"/>
        <v>7.3499999999999996E-2</v>
      </c>
      <c r="J75" s="117">
        <f t="shared" si="32"/>
        <v>0.14699999999999999</v>
      </c>
      <c r="K75" s="52"/>
      <c r="L75" s="53">
        <f t="shared" si="33"/>
        <v>1</v>
      </c>
      <c r="M75" s="69">
        <f t="shared" si="34"/>
        <v>735</v>
      </c>
      <c r="N75" s="55">
        <f>IFERROR(VLOOKUP(D75,元件库!$B:$O,10,FALSE),"1.00")</f>
        <v>1</v>
      </c>
      <c r="O75" s="337">
        <f>IFERROR(VLOOKUP(D75,元件库!$B:$O,11,FALSE),"")</f>
        <v>735</v>
      </c>
      <c r="P75" s="57" t="str">
        <f t="shared" si="35"/>
        <v/>
      </c>
    </row>
    <row r="76" spans="1:17" s="23" customFormat="1" ht="16.5" customHeight="1" x14ac:dyDescent="0.2">
      <c r="A76" s="363">
        <f>COUNTIF(L$1:L76,"!")</f>
        <v>6</v>
      </c>
      <c r="B76" s="364" t="str">
        <f>A76&amp;"."&amp;COUNTIF(A$3:A76,A76)-1</f>
        <v>6.5</v>
      </c>
      <c r="C76" s="100" t="str">
        <f>IFERROR(VLOOKUP(D76,元件库!$B:$O,3,FALSE),"")</f>
        <v/>
      </c>
      <c r="D76" s="41" t="s">
        <v>2841</v>
      </c>
      <c r="E76" s="101" t="s">
        <v>22</v>
      </c>
      <c r="F76" s="101" t="s">
        <v>32</v>
      </c>
      <c r="G76" s="41" t="s">
        <v>29</v>
      </c>
      <c r="H76" s="41">
        <v>2</v>
      </c>
      <c r="I76" s="117" t="str">
        <f t="shared" si="36"/>
        <v/>
      </c>
      <c r="J76" s="117" t="str">
        <f t="shared" si="32"/>
        <v/>
      </c>
      <c r="K76" s="52"/>
      <c r="L76" s="53">
        <f t="shared" si="33"/>
        <v>1</v>
      </c>
      <c r="M76" s="69" t="str">
        <f t="shared" si="34"/>
        <v/>
      </c>
      <c r="N76" s="55" t="str">
        <f>IFERROR(VLOOKUP(D76,元件库!$B:$O,10,FALSE),"1.00")</f>
        <v>1.00</v>
      </c>
      <c r="O76" s="337" t="str">
        <f>IFERROR(VLOOKUP(D76,元件库!$B:$O,11,FALSE),"")</f>
        <v/>
      </c>
      <c r="P76" s="57" t="str">
        <f t="shared" si="35"/>
        <v/>
      </c>
    </row>
    <row r="77" spans="1:17" s="23" customFormat="1" ht="16.5" customHeight="1" x14ac:dyDescent="0.2">
      <c r="A77" s="363">
        <f>COUNTIF(L$1:L77,"!")</f>
        <v>6</v>
      </c>
      <c r="B77" s="364" t="str">
        <f>A77&amp;"."&amp;COUNTIF(A$3:A77,A77)-1</f>
        <v>6.6</v>
      </c>
      <c r="C77" s="100" t="str">
        <f>IFERROR(VLOOKUP(D77,元件库!$B:$O,3,FALSE),"")</f>
        <v/>
      </c>
      <c r="D77" s="41" t="s">
        <v>2842</v>
      </c>
      <c r="E77" s="101" t="s">
        <v>22</v>
      </c>
      <c r="F77" s="101" t="s">
        <v>32</v>
      </c>
      <c r="G77" s="41" t="s">
        <v>29</v>
      </c>
      <c r="H77" s="41">
        <v>1</v>
      </c>
      <c r="I77" s="117" t="str">
        <f t="shared" si="36"/>
        <v/>
      </c>
      <c r="J77" s="117" t="str">
        <f t="shared" si="32"/>
        <v/>
      </c>
      <c r="K77" s="52"/>
      <c r="L77" s="53">
        <f t="shared" si="33"/>
        <v>1</v>
      </c>
      <c r="M77" s="69" t="str">
        <f t="shared" si="34"/>
        <v/>
      </c>
      <c r="N77" s="55" t="str">
        <f>IFERROR(VLOOKUP(D77,元件库!$B:$O,10,FALSE),"1.00")</f>
        <v>1.00</v>
      </c>
      <c r="O77" s="337" t="str">
        <f>IFERROR(VLOOKUP(D77,元件库!$B:$O,11,FALSE),"")</f>
        <v/>
      </c>
      <c r="P77" s="57" t="str">
        <f t="shared" si="35"/>
        <v/>
      </c>
    </row>
    <row r="78" spans="1:17" s="23" customFormat="1" ht="16.5" customHeight="1" x14ac:dyDescent="0.2">
      <c r="A78" s="363">
        <f>COUNTIF(L$1:L78,"!")</f>
        <v>6</v>
      </c>
      <c r="B78" s="364" t="str">
        <f>A78&amp;"."&amp;COUNTIF(A$3:A78,A78)-1</f>
        <v>6.7</v>
      </c>
      <c r="C78" s="100" t="str">
        <f>IFERROR(VLOOKUP(D78,元件库!$B:$O,3,FALSE),"")</f>
        <v>电流.电压表</v>
      </c>
      <c r="D78" s="41" t="s">
        <v>2843</v>
      </c>
      <c r="E78" s="101" t="s">
        <v>22</v>
      </c>
      <c r="F78" s="101" t="s">
        <v>32</v>
      </c>
      <c r="G78" s="41" t="s">
        <v>29</v>
      </c>
      <c r="H78" s="41">
        <v>3</v>
      </c>
      <c r="I78" s="117">
        <f t="shared" si="36"/>
        <v>1.4E-3</v>
      </c>
      <c r="J78" s="117">
        <f t="shared" si="32"/>
        <v>4.1999999999999997E-3</v>
      </c>
      <c r="K78" s="52"/>
      <c r="L78" s="53">
        <f t="shared" si="33"/>
        <v>1</v>
      </c>
      <c r="M78" s="69">
        <f t="shared" si="34"/>
        <v>13.750000000000002</v>
      </c>
      <c r="N78" s="55">
        <f>IFERROR(VLOOKUP(D78,元件库!$B:$O,10,FALSE),"1.00")</f>
        <v>0.55000000000000004</v>
      </c>
      <c r="O78" s="337">
        <f>IFERROR(VLOOKUP(D78,元件库!$B:$O,11,FALSE),"")</f>
        <v>25</v>
      </c>
      <c r="P78" s="57" t="str">
        <f t="shared" si="35"/>
        <v/>
      </c>
    </row>
    <row r="79" spans="1:17" s="23" customFormat="1" ht="16.5" customHeight="1" x14ac:dyDescent="0.2">
      <c r="A79" s="363">
        <f>COUNTIF(L$1:L79,"!")</f>
        <v>6</v>
      </c>
      <c r="B79" s="364" t="str">
        <f>A79&amp;"."&amp;COUNTIF(A$3:A79,A79)-1</f>
        <v>6.8</v>
      </c>
      <c r="C79" s="100" t="str">
        <f>IFERROR(VLOOKUP(D79,元件库!$B:$O,3,FALSE),"")</f>
        <v/>
      </c>
      <c r="D79" s="41" t="s">
        <v>2832</v>
      </c>
      <c r="E79" s="101" t="s">
        <v>22</v>
      </c>
      <c r="F79" s="101" t="s">
        <v>32</v>
      </c>
      <c r="G79" s="41" t="s">
        <v>29</v>
      </c>
      <c r="H79" s="41">
        <v>3</v>
      </c>
      <c r="I79" s="117" t="str">
        <f t="shared" si="36"/>
        <v/>
      </c>
      <c r="J79" s="117" t="str">
        <f t="shared" si="32"/>
        <v/>
      </c>
      <c r="K79" s="52"/>
      <c r="L79" s="53">
        <f t="shared" si="33"/>
        <v>1</v>
      </c>
      <c r="M79" s="69" t="str">
        <f t="shared" si="34"/>
        <v/>
      </c>
      <c r="N79" s="55" t="str">
        <f>IFERROR(VLOOKUP(D79,元件库!$B:$O,10,FALSE),"1.00")</f>
        <v>1.00</v>
      </c>
      <c r="O79" s="337" t="str">
        <f>IFERROR(VLOOKUP(D79,元件库!$B:$O,11,FALSE),"")</f>
        <v/>
      </c>
      <c r="P79" s="57" t="str">
        <f t="shared" si="35"/>
        <v/>
      </c>
    </row>
    <row r="80" spans="1:17" s="23" customFormat="1" ht="16.5" customHeight="1" x14ac:dyDescent="0.2">
      <c r="A80" s="363">
        <f>COUNTIF(L$1:L80,"!")</f>
        <v>6</v>
      </c>
      <c r="B80" s="364" t="str">
        <f>A80&amp;"."&amp;COUNTIF(A$3:A80,A80)-1</f>
        <v>6.9</v>
      </c>
      <c r="C80" s="100" t="str">
        <f>IFERROR(VLOOKUP(D80,元件库!$B:$O,3,FALSE),"")</f>
        <v>指示灯</v>
      </c>
      <c r="D80" s="41" t="s">
        <v>35</v>
      </c>
      <c r="E80" s="101" t="s">
        <v>22</v>
      </c>
      <c r="F80" s="101" t="s">
        <v>32</v>
      </c>
      <c r="G80" s="41" t="s">
        <v>29</v>
      </c>
      <c r="H80" s="41">
        <v>3</v>
      </c>
      <c r="I80" s="117">
        <f t="shared" si="36"/>
        <v>2.0000000000000001E-4</v>
      </c>
      <c r="J80" s="117">
        <f t="shared" si="32"/>
        <v>6.0000000000000006E-4</v>
      </c>
      <c r="K80" s="52"/>
      <c r="L80" s="53">
        <f t="shared" si="33"/>
        <v>1</v>
      </c>
      <c r="M80" s="69">
        <f t="shared" si="34"/>
        <v>2.3100000000000005</v>
      </c>
      <c r="N80" s="55">
        <f>IFERROR(VLOOKUP(D80,元件库!$B:$O,10,FALSE),"1.00")</f>
        <v>0.55000000000000004</v>
      </c>
      <c r="O80" s="337">
        <f>IFERROR(VLOOKUP(D80,元件库!$B:$O,11,FALSE),"")</f>
        <v>4.2</v>
      </c>
      <c r="P80" s="57" t="str">
        <f t="shared" si="35"/>
        <v/>
      </c>
    </row>
    <row r="81" spans="1:17" s="23" customFormat="1" ht="16.5" customHeight="1" x14ac:dyDescent="0.2">
      <c r="A81" s="363">
        <f>COUNTIF(L$1:L81,"!")</f>
        <v>6</v>
      </c>
      <c r="B81" s="364" t="str">
        <f>A81&amp;"."&amp;COUNTIF(A$3:A81,A81)-1</f>
        <v>6.10</v>
      </c>
      <c r="C81" s="100" t="str">
        <f>IFERROR(VLOOKUP(D81,元件库!$B:$O,3,FALSE),"")</f>
        <v>铜排</v>
      </c>
      <c r="D81" s="41" t="s">
        <v>2816</v>
      </c>
      <c r="E81" s="101" t="s">
        <v>37</v>
      </c>
      <c r="F81" s="101" t="s">
        <v>38</v>
      </c>
      <c r="G81" s="41" t="s">
        <v>39</v>
      </c>
      <c r="H81" s="41">
        <v>6</v>
      </c>
      <c r="I81" s="117">
        <f t="shared" si="36"/>
        <v>4.0599999999999997E-2</v>
      </c>
      <c r="J81" s="117">
        <f t="shared" si="32"/>
        <v>0.24359999999999998</v>
      </c>
      <c r="K81" s="52"/>
      <c r="L81" s="53">
        <f t="shared" si="33"/>
        <v>1</v>
      </c>
      <c r="M81" s="69">
        <f t="shared" si="34"/>
        <v>405.84</v>
      </c>
      <c r="N81" s="55">
        <f>IFERROR(VLOOKUP(D81,元件库!$B:$O,10,FALSE),"1.00")</f>
        <v>1</v>
      </c>
      <c r="O81" s="337">
        <f>IFERROR(VLOOKUP(D81,元件库!$B:$O,11,FALSE),"")</f>
        <v>405.84</v>
      </c>
      <c r="P81" s="57" t="str">
        <f t="shared" si="35"/>
        <v/>
      </c>
    </row>
    <row r="82" spans="1:17" s="23" customFormat="1" ht="16.5" customHeight="1" x14ac:dyDescent="0.2">
      <c r="A82" s="363">
        <f>COUNTIF(L$1:L82,"!")</f>
        <v>6</v>
      </c>
      <c r="B82" s="364" t="str">
        <f>A82&amp;"."&amp;COUNTIF(A$3:A82,A82)-1</f>
        <v>6.11</v>
      </c>
      <c r="C82" s="100" t="str">
        <f>IFERROR(VLOOKUP(D82,元件库!$B:$O,3,FALSE),"")</f>
        <v>铜排</v>
      </c>
      <c r="D82" s="41" t="s">
        <v>2844</v>
      </c>
      <c r="E82" s="101" t="s">
        <v>37</v>
      </c>
      <c r="F82" s="101" t="s">
        <v>38</v>
      </c>
      <c r="G82" s="41" t="s">
        <v>39</v>
      </c>
      <c r="H82" s="41">
        <v>1.2</v>
      </c>
      <c r="I82" s="117">
        <f t="shared" si="36"/>
        <v>1.52E-2</v>
      </c>
      <c r="J82" s="117">
        <f t="shared" si="32"/>
        <v>1.8239999999999999E-2</v>
      </c>
      <c r="K82" s="52"/>
      <c r="L82" s="53">
        <f t="shared" si="33"/>
        <v>1</v>
      </c>
      <c r="M82" s="69">
        <f t="shared" si="34"/>
        <v>152.19</v>
      </c>
      <c r="N82" s="55">
        <f>IFERROR(VLOOKUP(D82,元件库!$B:$O,10,FALSE),"1.00")</f>
        <v>1</v>
      </c>
      <c r="O82" s="337">
        <f>IFERROR(VLOOKUP(D82,元件库!$B:$O,11,FALSE),"")</f>
        <v>152.19</v>
      </c>
      <c r="P82" s="57" t="str">
        <f t="shared" si="35"/>
        <v/>
      </c>
    </row>
    <row r="83" spans="1:17" s="23" customFormat="1" ht="16.5" customHeight="1" x14ac:dyDescent="0.2">
      <c r="A83" s="363">
        <f>COUNTIF(L$1:L83,"!")</f>
        <v>6</v>
      </c>
      <c r="B83" s="364" t="str">
        <f>A83&amp;"."&amp;COUNTIF(A$3:A83,A83)-1</f>
        <v>6.12</v>
      </c>
      <c r="C83" s="100" t="str">
        <f>IFERROR(VLOOKUP(D83,元件库!$B:$O,3,FALSE),"")</f>
        <v>铜排</v>
      </c>
      <c r="D83" s="41" t="s">
        <v>2845</v>
      </c>
      <c r="E83" s="101" t="s">
        <v>37</v>
      </c>
      <c r="F83" s="101" t="s">
        <v>38</v>
      </c>
      <c r="G83" s="41" t="s">
        <v>39</v>
      </c>
      <c r="H83" s="41">
        <v>2.4</v>
      </c>
      <c r="I83" s="117">
        <f t="shared" si="36"/>
        <v>7.6E-3</v>
      </c>
      <c r="J83" s="117">
        <f t="shared" si="32"/>
        <v>1.8239999999999999E-2</v>
      </c>
      <c r="K83" s="52"/>
      <c r="L83" s="53">
        <f t="shared" si="33"/>
        <v>1</v>
      </c>
      <c r="M83" s="69">
        <f t="shared" si="34"/>
        <v>76.094999999999999</v>
      </c>
      <c r="N83" s="55">
        <f>IFERROR(VLOOKUP(D83,元件库!$B:$O,10,FALSE),"1.00")</f>
        <v>1</v>
      </c>
      <c r="O83" s="337">
        <f>IFERROR(VLOOKUP(D83,元件库!$B:$O,11,FALSE),"")</f>
        <v>76.094999999999999</v>
      </c>
      <c r="P83" s="57" t="str">
        <f t="shared" si="35"/>
        <v/>
      </c>
    </row>
    <row r="84" spans="1:17" s="23" customFormat="1" ht="16.5" customHeight="1" x14ac:dyDescent="0.2">
      <c r="A84" s="363">
        <f>COUNTIF(L$1:L84,"!")</f>
        <v>6</v>
      </c>
      <c r="B84" s="364" t="str">
        <f>A84&amp;"."&amp;COUNTIF(A$3:A84,A84)-1</f>
        <v>6.13</v>
      </c>
      <c r="C84" s="100" t="s">
        <v>42</v>
      </c>
      <c r="D84" s="41" t="s">
        <v>2816</v>
      </c>
      <c r="E84" s="101" t="s">
        <v>37</v>
      </c>
      <c r="F84" s="101" t="s">
        <v>38</v>
      </c>
      <c r="G84" s="41" t="s">
        <v>39</v>
      </c>
      <c r="H84" s="41">
        <v>2.4</v>
      </c>
      <c r="I84" s="117">
        <f t="shared" si="36"/>
        <v>4.0599999999999997E-2</v>
      </c>
      <c r="J84" s="117">
        <f t="shared" si="32"/>
        <v>9.7439999999999985E-2</v>
      </c>
      <c r="K84" s="52"/>
      <c r="L84" s="53">
        <f t="shared" si="33"/>
        <v>1</v>
      </c>
      <c r="M84" s="69">
        <f t="shared" si="34"/>
        <v>405.84</v>
      </c>
      <c r="N84" s="55">
        <f>IFERROR(VLOOKUP(D84,元件库!$B:$O,10,FALSE),"1.00")</f>
        <v>1</v>
      </c>
      <c r="O84" s="337">
        <f>IFERROR(VLOOKUP(D84,元件库!$B:$O,11,FALSE),"")</f>
        <v>405.84</v>
      </c>
      <c r="P84" s="57" t="str">
        <f t="shared" si="35"/>
        <v/>
      </c>
      <c r="Q84" s="59" t="str">
        <f>IFERROR(LOOKUP(0,0/((A$2:A82=A84)*(C$2:C82="壳体W*H*D")),D$2:D82),LOOKUP(0,0/((A$2:A82=A84)*(C$2:C82="壳体W*D*H")),D$2:D82))</f>
        <v>GGD-800*600*2000</v>
      </c>
    </row>
    <row r="85" spans="1:17" s="23" customFormat="1" ht="16.5" customHeight="1" x14ac:dyDescent="0.2">
      <c r="A85" s="363">
        <f>COUNTIF(L$1:L85,"!")</f>
        <v>6</v>
      </c>
      <c r="B85" s="364" t="str">
        <f>A85&amp;"."&amp;COUNTIF(A$3:A85,A85)-1</f>
        <v>6.14</v>
      </c>
      <c r="C85" s="100" t="s">
        <v>44</v>
      </c>
      <c r="D85" s="41" t="s">
        <v>2816</v>
      </c>
      <c r="E85" s="101" t="s">
        <v>37</v>
      </c>
      <c r="F85" s="101" t="s">
        <v>38</v>
      </c>
      <c r="G85" s="41" t="s">
        <v>39</v>
      </c>
      <c r="H85" s="41">
        <v>0.8</v>
      </c>
      <c r="I85" s="117">
        <f t="shared" si="36"/>
        <v>4.0599999999999997E-2</v>
      </c>
      <c r="J85" s="117">
        <f t="shared" si="32"/>
        <v>3.2480000000000002E-2</v>
      </c>
      <c r="K85" s="52"/>
      <c r="L85" s="53">
        <f t="shared" si="33"/>
        <v>1</v>
      </c>
      <c r="M85" s="69">
        <f t="shared" si="34"/>
        <v>405.84</v>
      </c>
      <c r="N85" s="55">
        <f>IFERROR(VLOOKUP(D85,元件库!$B:$O,10,FALSE),"1.00")</f>
        <v>1</v>
      </c>
      <c r="O85" s="337">
        <f>IFERROR(VLOOKUP(D85,元件库!$B:$O,11,FALSE),"")</f>
        <v>405.84</v>
      </c>
      <c r="P85" s="57" t="str">
        <f t="shared" si="35"/>
        <v/>
      </c>
      <c r="Q85" s="59" t="str">
        <f>IFERROR(LOOKUP(0,0/((A$2:A84=A85)*(C$2:C84="壳体W*H*D")),D$2:D84),LOOKUP(0,0/((A$2:A84=A85)*(C$2:C84="壳体W*D*H")),D$2:D84))</f>
        <v>GGD-800*600*2000</v>
      </c>
    </row>
    <row r="86" spans="1:17" s="23" customFormat="1" ht="16.5" customHeight="1" x14ac:dyDescent="0.2">
      <c r="A86" s="363">
        <f>COUNTIF(L$1:L86,"!")</f>
        <v>6</v>
      </c>
      <c r="B86" s="364" t="str">
        <f>A86&amp;"."&amp;COUNTIF(A$3:A86,A86)-1</f>
        <v>6.15</v>
      </c>
      <c r="C86" s="100" t="s">
        <v>45</v>
      </c>
      <c r="D86" s="41" t="s">
        <v>2833</v>
      </c>
      <c r="E86" s="101" t="s">
        <v>37</v>
      </c>
      <c r="F86" s="101" t="s">
        <v>38</v>
      </c>
      <c r="G86" s="41" t="s">
        <v>39</v>
      </c>
      <c r="H86" s="41">
        <v>0.8</v>
      </c>
      <c r="I86" s="117">
        <f t="shared" si="36"/>
        <v>1.83E-2</v>
      </c>
      <c r="J86" s="117">
        <f t="shared" si="32"/>
        <v>1.464E-2</v>
      </c>
      <c r="K86" s="52"/>
      <c r="L86" s="53">
        <f t="shared" si="33"/>
        <v>1</v>
      </c>
      <c r="M86" s="69">
        <f t="shared" si="34"/>
        <v>182.62799999999999</v>
      </c>
      <c r="N86" s="55">
        <f>IFERROR(VLOOKUP(D86,元件库!$B:$O,10,FALSE),"1.00")</f>
        <v>1</v>
      </c>
      <c r="O86" s="337">
        <f>IFERROR(VLOOKUP(D86,元件库!$B:$O,11,FALSE),"")</f>
        <v>182.62799999999999</v>
      </c>
      <c r="P86" s="57" t="str">
        <f t="shared" si="35"/>
        <v/>
      </c>
      <c r="Q86" s="59" t="str">
        <f>IFERROR(LOOKUP(0,0/((A$2:A85=A86)*(C$2:C85="壳体W*H*D")),D$2:D85),LOOKUP(0,0/((A$2:A85=A86)*(C$2:C85="壳体W*D*H")),D$2:D85))</f>
        <v>GGD-800*600*2000</v>
      </c>
    </row>
    <row r="87" spans="1:17" s="23" customFormat="1" ht="16.5" customHeight="1" x14ac:dyDescent="0.2">
      <c r="A87" s="363">
        <f>COUNTIF(L$1:L87,"!")</f>
        <v>6</v>
      </c>
      <c r="B87" s="364" t="str">
        <f>A87&amp;"."&amp;COUNTIF(A$3:A87,A87)-1</f>
        <v>6.16</v>
      </c>
      <c r="C87" s="100" t="s">
        <v>51</v>
      </c>
      <c r="D87" s="41"/>
      <c r="E87" s="101"/>
      <c r="F87" s="101"/>
      <c r="G87" s="41" t="s">
        <v>2812</v>
      </c>
      <c r="H87" s="41">
        <v>1</v>
      </c>
      <c r="I87" s="117">
        <f t="shared" si="36"/>
        <v>0.11</v>
      </c>
      <c r="J87" s="117">
        <f t="shared" si="32"/>
        <v>0.11</v>
      </c>
      <c r="K87" s="52"/>
      <c r="L87" s="53">
        <f t="shared" si="33"/>
        <v>1</v>
      </c>
      <c r="M87" s="69">
        <f t="shared" si="34"/>
        <v>1100</v>
      </c>
      <c r="N87" s="55">
        <v>1</v>
      </c>
      <c r="O87" s="337">
        <v>1100</v>
      </c>
      <c r="P87" s="57" t="str">
        <f t="shared" si="35"/>
        <v>值</v>
      </c>
    </row>
    <row r="88" spans="1:17" s="23" customFormat="1" ht="27" customHeight="1" x14ac:dyDescent="0.2">
      <c r="A88" s="363">
        <f>COUNTIF(L$1:L88,"!")</f>
        <v>6</v>
      </c>
      <c r="B88" s="364" t="str">
        <f>A88&amp;"."&amp;COUNTIF(A$3:A88,A88)-1</f>
        <v>6.17</v>
      </c>
      <c r="C88" s="103" t="s">
        <v>53</v>
      </c>
      <c r="D88" s="104"/>
      <c r="E88" s="365"/>
      <c r="F88" s="101"/>
      <c r="G88" s="104"/>
      <c r="H88" s="104" t="s">
        <v>1</v>
      </c>
      <c r="I88" s="118" t="s">
        <v>52</v>
      </c>
      <c r="J88" s="366"/>
      <c r="K88" s="104"/>
      <c r="L88" s="53"/>
      <c r="M88" s="119"/>
      <c r="N88" s="70"/>
      <c r="O88" s="337"/>
    </row>
    <row r="89" spans="1:17" s="30" customFormat="1" ht="27" customHeight="1" x14ac:dyDescent="0.2">
      <c r="A89" s="363">
        <f>COUNTIF(L$1:L89,"!")</f>
        <v>6</v>
      </c>
      <c r="B89" s="364" t="str">
        <f>A89&amp;"."&amp;COUNTIF(A$3:A89,A89)-1</f>
        <v>6.18</v>
      </c>
      <c r="C89" s="103" t="s">
        <v>54</v>
      </c>
      <c r="D89" s="104"/>
      <c r="E89" s="365"/>
      <c r="F89" s="101"/>
      <c r="G89" s="104"/>
      <c r="H89" s="104"/>
      <c r="I89" s="118" t="s">
        <v>1</v>
      </c>
      <c r="J89" s="120">
        <f>SUM(J72:J88)</f>
        <v>1.03424</v>
      </c>
      <c r="K89" s="104"/>
      <c r="L89" s="53"/>
      <c r="M89" s="119"/>
      <c r="N89" s="70"/>
      <c r="O89" s="337"/>
      <c r="Q89" s="90"/>
    </row>
    <row r="90" spans="1:17" s="23" customFormat="1" ht="16.5" customHeight="1" x14ac:dyDescent="0.15">
      <c r="A90" s="97">
        <f>COUNTIF(L$1:L90,"!")</f>
        <v>7</v>
      </c>
      <c r="B90" s="32" t="str">
        <f>COUNTIF(L$2:L91,"!")&amp;"."</f>
        <v>7.</v>
      </c>
      <c r="C90" s="47" t="s">
        <v>2836</v>
      </c>
      <c r="D90" s="35" t="str">
        <f>D91</f>
        <v>GGD-800*600*2000</v>
      </c>
      <c r="E90" s="367" t="s">
        <v>22</v>
      </c>
      <c r="F90" s="367" t="s">
        <v>3261</v>
      </c>
      <c r="G90" s="34" t="s">
        <v>23</v>
      </c>
      <c r="H90" s="98">
        <v>1</v>
      </c>
      <c r="I90" s="115">
        <f>LOOKUP(0,0/((A90:A116=A90)*(C90:C116="合计金额（单位完整货物单价）")),J90:J116)</f>
        <v>1.03424</v>
      </c>
      <c r="J90" s="116">
        <f>IFERROR(I90*H90,"")</f>
        <v>1.03424</v>
      </c>
      <c r="K90" s="34"/>
      <c r="L90" s="48" t="s">
        <v>24</v>
      </c>
      <c r="M90" s="49"/>
      <c r="N90" s="50"/>
      <c r="O90" s="51"/>
      <c r="Q90" s="360">
        <f>COUNTIF(L$3:L90,"#")</f>
        <v>1</v>
      </c>
    </row>
    <row r="91" spans="1:17" s="23" customFormat="1" ht="16.5" customHeight="1" x14ac:dyDescent="0.2">
      <c r="A91" s="363">
        <f>COUNTIF(L$1:L91,"!")</f>
        <v>7</v>
      </c>
      <c r="B91" s="364" t="str">
        <f>A91&amp;"."&amp;COUNTIF(A$3:A91,A91)-1</f>
        <v>7.1</v>
      </c>
      <c r="C91" s="100" t="s">
        <v>25</v>
      </c>
      <c r="D91" s="41" t="s">
        <v>2846</v>
      </c>
      <c r="E91" s="101" t="s">
        <v>22</v>
      </c>
      <c r="F91" s="101" t="s">
        <v>3261</v>
      </c>
      <c r="G91" s="41" t="s">
        <v>23</v>
      </c>
      <c r="H91" s="41">
        <v>1</v>
      </c>
      <c r="I91" s="117">
        <f>IFERROR(ROUND(L91*M91/10000,4),"")</f>
        <v>0.155</v>
      </c>
      <c r="J91" s="117">
        <f t="shared" ref="J91:J106" si="37">IFERROR(I91*H91,"")</f>
        <v>0.155</v>
      </c>
      <c r="K91" s="52"/>
      <c r="L91" s="53">
        <f t="shared" ref="L91:L106" si="38">L$2</f>
        <v>1</v>
      </c>
      <c r="M91" s="69">
        <f t="shared" ref="M91:M106" si="39">IFERROR(O91*N91,"")</f>
        <v>1550</v>
      </c>
      <c r="N91" s="55">
        <f>IFERROR(VLOOKUP(D91,元件库!$B:$O,10,FALSE),"1.00")</f>
        <v>1</v>
      </c>
      <c r="O91" s="337">
        <f>IFERROR(VLOOKUP(D91,元件库!$B:$O,11,FALSE),"")</f>
        <v>1550</v>
      </c>
      <c r="P91" s="57" t="str">
        <f t="shared" ref="P91:P106" si="40">IF(_xlfn.ISFORMULA(O91),"","值")</f>
        <v/>
      </c>
      <c r="Q91" s="90"/>
    </row>
    <row r="92" spans="1:17" s="23" customFormat="1" ht="16.5" customHeight="1" x14ac:dyDescent="0.2">
      <c r="A92" s="363">
        <f>COUNTIF(L$1:L92,"!")</f>
        <v>7</v>
      </c>
      <c r="B92" s="364" t="str">
        <f>A92&amp;"."&amp;COUNTIF(A$3:A92,A92)-1</f>
        <v>7.2</v>
      </c>
      <c r="C92" s="100" t="str">
        <f>IFERROR(VLOOKUP(D92,元件库!$B:$O,3,FALSE),"")</f>
        <v>刀开关</v>
      </c>
      <c r="D92" s="41" t="s">
        <v>2826</v>
      </c>
      <c r="E92" s="101" t="s">
        <v>22</v>
      </c>
      <c r="F92" s="101" t="s">
        <v>32</v>
      </c>
      <c r="G92" s="41" t="s">
        <v>29</v>
      </c>
      <c r="H92" s="41">
        <v>1</v>
      </c>
      <c r="I92" s="117">
        <f t="shared" ref="I92:I106" si="41">IFERROR(ROUND(L92*M92/10000,4),"")</f>
        <v>9.2999999999999999E-2</v>
      </c>
      <c r="J92" s="117">
        <f t="shared" si="37"/>
        <v>9.2999999999999999E-2</v>
      </c>
      <c r="K92" s="52"/>
      <c r="L92" s="53">
        <f t="shared" si="38"/>
        <v>1</v>
      </c>
      <c r="M92" s="69">
        <f t="shared" si="39"/>
        <v>929.50000000000011</v>
      </c>
      <c r="N92" s="55">
        <f>IFERROR(VLOOKUP(D92,元件库!$B:$O,10,FALSE),"1.00")</f>
        <v>0.55000000000000004</v>
      </c>
      <c r="O92" s="337">
        <f>IFERROR(VLOOKUP(D92,元件库!$B:$O,11,FALSE),"")</f>
        <v>1690</v>
      </c>
      <c r="P92" s="57" t="str">
        <f t="shared" si="40"/>
        <v/>
      </c>
      <c r="Q92" s="90"/>
    </row>
    <row r="93" spans="1:17" s="23" customFormat="1" ht="16.5" customHeight="1" x14ac:dyDescent="0.2">
      <c r="A93" s="363">
        <f>COUNTIF(L$1:L93,"!")</f>
        <v>7</v>
      </c>
      <c r="B93" s="364" t="str">
        <f>A93&amp;"."&amp;COUNTIF(A$3:A93,A93)-1</f>
        <v>7.3</v>
      </c>
      <c r="C93" s="100" t="str">
        <f>IFERROR(VLOOKUP(D93,元件库!$B:$O,3,FALSE),"")</f>
        <v>塑壳断路器</v>
      </c>
      <c r="D93" s="41" t="s">
        <v>2839</v>
      </c>
      <c r="E93" s="101" t="s">
        <v>22</v>
      </c>
      <c r="F93" s="101" t="s">
        <v>28</v>
      </c>
      <c r="G93" s="41" t="s">
        <v>29</v>
      </c>
      <c r="H93" s="41">
        <v>1</v>
      </c>
      <c r="I93" s="117">
        <f t="shared" si="41"/>
        <v>9.98E-2</v>
      </c>
      <c r="J93" s="117">
        <f t="shared" si="37"/>
        <v>9.98E-2</v>
      </c>
      <c r="K93" s="52"/>
      <c r="L93" s="53">
        <f t="shared" si="38"/>
        <v>1</v>
      </c>
      <c r="M93" s="69">
        <f t="shared" si="39"/>
        <v>998</v>
      </c>
      <c r="N93" s="55">
        <f>IFERROR(VLOOKUP(D93,元件库!$B:$O,10,FALSE),"1.00")</f>
        <v>1</v>
      </c>
      <c r="O93" s="337">
        <f>IFERROR(VLOOKUP(D93,元件库!$B:$O,11,FALSE),"")</f>
        <v>998</v>
      </c>
      <c r="P93" s="57" t="str">
        <f t="shared" si="40"/>
        <v/>
      </c>
      <c r="Q93" s="90"/>
    </row>
    <row r="94" spans="1:17" s="23" customFormat="1" ht="16.5" customHeight="1" x14ac:dyDescent="0.2">
      <c r="A94" s="363">
        <f>COUNTIF(L$1:L94,"!")</f>
        <v>7</v>
      </c>
      <c r="B94" s="364" t="str">
        <f>A94&amp;"."&amp;COUNTIF(A$3:A94,A94)-1</f>
        <v>7.4</v>
      </c>
      <c r="C94" s="100" t="str">
        <f>IFERROR(VLOOKUP(D94,元件库!$B:$O,3,FALSE),"")</f>
        <v>塑壳断路器</v>
      </c>
      <c r="D94" s="41" t="s">
        <v>2840</v>
      </c>
      <c r="E94" s="101" t="s">
        <v>22</v>
      </c>
      <c r="F94" s="101" t="s">
        <v>28</v>
      </c>
      <c r="G94" s="41" t="s">
        <v>29</v>
      </c>
      <c r="H94" s="41">
        <v>2</v>
      </c>
      <c r="I94" s="117">
        <f t="shared" si="41"/>
        <v>7.3499999999999996E-2</v>
      </c>
      <c r="J94" s="117">
        <f t="shared" si="37"/>
        <v>0.14699999999999999</v>
      </c>
      <c r="K94" s="52"/>
      <c r="L94" s="53">
        <f t="shared" si="38"/>
        <v>1</v>
      </c>
      <c r="M94" s="69">
        <f t="shared" si="39"/>
        <v>735</v>
      </c>
      <c r="N94" s="55">
        <f>IFERROR(VLOOKUP(D94,元件库!$B:$O,10,FALSE),"1.00")</f>
        <v>1</v>
      </c>
      <c r="O94" s="337">
        <f>IFERROR(VLOOKUP(D94,元件库!$B:$O,11,FALSE),"")</f>
        <v>735</v>
      </c>
      <c r="P94" s="57" t="str">
        <f t="shared" si="40"/>
        <v/>
      </c>
    </row>
    <row r="95" spans="1:17" s="23" customFormat="1" ht="16.5" customHeight="1" x14ac:dyDescent="0.2">
      <c r="A95" s="363">
        <f>COUNTIF(L$1:L95,"!")</f>
        <v>7</v>
      </c>
      <c r="B95" s="364" t="str">
        <f>A95&amp;"."&amp;COUNTIF(A$3:A95,A95)-1</f>
        <v>7.5</v>
      </c>
      <c r="C95" s="100" t="str">
        <f>IFERROR(VLOOKUP(D95,元件库!$B:$O,3,FALSE),"")</f>
        <v/>
      </c>
      <c r="D95" s="41" t="s">
        <v>2841</v>
      </c>
      <c r="E95" s="101" t="s">
        <v>22</v>
      </c>
      <c r="F95" s="101" t="s">
        <v>32</v>
      </c>
      <c r="G95" s="41" t="s">
        <v>29</v>
      </c>
      <c r="H95" s="41">
        <v>2</v>
      </c>
      <c r="I95" s="117" t="str">
        <f t="shared" si="41"/>
        <v/>
      </c>
      <c r="J95" s="117" t="str">
        <f t="shared" si="37"/>
        <v/>
      </c>
      <c r="K95" s="52"/>
      <c r="L95" s="53">
        <f t="shared" si="38"/>
        <v>1</v>
      </c>
      <c r="M95" s="69" t="str">
        <f t="shared" si="39"/>
        <v/>
      </c>
      <c r="N95" s="55" t="str">
        <f>IFERROR(VLOOKUP(D95,元件库!$B:$O,10,FALSE),"1.00")</f>
        <v>1.00</v>
      </c>
      <c r="O95" s="337" t="str">
        <f>IFERROR(VLOOKUP(D95,元件库!$B:$O,11,FALSE),"")</f>
        <v/>
      </c>
      <c r="P95" s="57" t="str">
        <f t="shared" si="40"/>
        <v/>
      </c>
    </row>
    <row r="96" spans="1:17" s="23" customFormat="1" ht="16.5" customHeight="1" x14ac:dyDescent="0.2">
      <c r="A96" s="363">
        <f>COUNTIF(L$1:L96,"!")</f>
        <v>7</v>
      </c>
      <c r="B96" s="364" t="str">
        <f>A96&amp;"."&amp;COUNTIF(A$3:A96,A96)-1</f>
        <v>7.6</v>
      </c>
      <c r="C96" s="100" t="str">
        <f>IFERROR(VLOOKUP(D96,元件库!$B:$O,3,FALSE),"")</f>
        <v/>
      </c>
      <c r="D96" s="41" t="s">
        <v>2842</v>
      </c>
      <c r="E96" s="101" t="s">
        <v>22</v>
      </c>
      <c r="F96" s="101" t="s">
        <v>32</v>
      </c>
      <c r="G96" s="41" t="s">
        <v>29</v>
      </c>
      <c r="H96" s="41">
        <v>1</v>
      </c>
      <c r="I96" s="117" t="str">
        <f t="shared" si="41"/>
        <v/>
      </c>
      <c r="J96" s="117" t="str">
        <f t="shared" si="37"/>
        <v/>
      </c>
      <c r="K96" s="52"/>
      <c r="L96" s="53">
        <f t="shared" si="38"/>
        <v>1</v>
      </c>
      <c r="M96" s="69" t="str">
        <f t="shared" si="39"/>
        <v/>
      </c>
      <c r="N96" s="55" t="str">
        <f>IFERROR(VLOOKUP(D96,元件库!$B:$O,10,FALSE),"1.00")</f>
        <v>1.00</v>
      </c>
      <c r="O96" s="337" t="str">
        <f>IFERROR(VLOOKUP(D96,元件库!$B:$O,11,FALSE),"")</f>
        <v/>
      </c>
      <c r="P96" s="57" t="str">
        <f t="shared" si="40"/>
        <v/>
      </c>
    </row>
    <row r="97" spans="1:17" s="23" customFormat="1" ht="16.5" customHeight="1" x14ac:dyDescent="0.2">
      <c r="A97" s="363">
        <f>COUNTIF(L$1:L97,"!")</f>
        <v>7</v>
      </c>
      <c r="B97" s="364" t="str">
        <f>A97&amp;"."&amp;COUNTIF(A$3:A97,A97)-1</f>
        <v>7.7</v>
      </c>
      <c r="C97" s="100" t="str">
        <f>IFERROR(VLOOKUP(D97,元件库!$B:$O,3,FALSE),"")</f>
        <v>电流.电压表</v>
      </c>
      <c r="D97" s="41" t="s">
        <v>2843</v>
      </c>
      <c r="E97" s="101" t="s">
        <v>22</v>
      </c>
      <c r="F97" s="101" t="s">
        <v>32</v>
      </c>
      <c r="G97" s="41" t="s">
        <v>29</v>
      </c>
      <c r="H97" s="41">
        <v>3</v>
      </c>
      <c r="I97" s="117">
        <f t="shared" si="41"/>
        <v>1.4E-3</v>
      </c>
      <c r="J97" s="117">
        <f t="shared" si="37"/>
        <v>4.1999999999999997E-3</v>
      </c>
      <c r="K97" s="52"/>
      <c r="L97" s="53">
        <f t="shared" si="38"/>
        <v>1</v>
      </c>
      <c r="M97" s="69">
        <f t="shared" si="39"/>
        <v>13.750000000000002</v>
      </c>
      <c r="N97" s="55">
        <f>IFERROR(VLOOKUP(D97,元件库!$B:$O,10,FALSE),"1.00")</f>
        <v>0.55000000000000004</v>
      </c>
      <c r="O97" s="337">
        <f>IFERROR(VLOOKUP(D97,元件库!$B:$O,11,FALSE),"")</f>
        <v>25</v>
      </c>
      <c r="P97" s="57" t="str">
        <f t="shared" si="40"/>
        <v/>
      </c>
    </row>
    <row r="98" spans="1:17" s="23" customFormat="1" ht="16.5" customHeight="1" x14ac:dyDescent="0.2">
      <c r="A98" s="363">
        <f>COUNTIF(L$1:L98,"!")</f>
        <v>7</v>
      </c>
      <c r="B98" s="364" t="str">
        <f>A98&amp;"."&amp;COUNTIF(A$3:A98,A98)-1</f>
        <v>7.8</v>
      </c>
      <c r="C98" s="100" t="str">
        <f>IFERROR(VLOOKUP(D98,元件库!$B:$O,3,FALSE),"")</f>
        <v/>
      </c>
      <c r="D98" s="41" t="s">
        <v>2832</v>
      </c>
      <c r="E98" s="101" t="s">
        <v>22</v>
      </c>
      <c r="F98" s="101" t="s">
        <v>32</v>
      </c>
      <c r="G98" s="41" t="s">
        <v>29</v>
      </c>
      <c r="H98" s="41">
        <v>3</v>
      </c>
      <c r="I98" s="117" t="str">
        <f t="shared" si="41"/>
        <v/>
      </c>
      <c r="J98" s="117" t="str">
        <f t="shared" si="37"/>
        <v/>
      </c>
      <c r="K98" s="52"/>
      <c r="L98" s="53">
        <f t="shared" si="38"/>
        <v>1</v>
      </c>
      <c r="M98" s="69" t="str">
        <f t="shared" si="39"/>
        <v/>
      </c>
      <c r="N98" s="55" t="str">
        <f>IFERROR(VLOOKUP(D98,元件库!$B:$O,10,FALSE),"1.00")</f>
        <v>1.00</v>
      </c>
      <c r="O98" s="337" t="str">
        <f>IFERROR(VLOOKUP(D98,元件库!$B:$O,11,FALSE),"")</f>
        <v/>
      </c>
      <c r="P98" s="57" t="str">
        <f t="shared" si="40"/>
        <v/>
      </c>
    </row>
    <row r="99" spans="1:17" s="23" customFormat="1" ht="16.5" customHeight="1" x14ac:dyDescent="0.2">
      <c r="A99" s="363">
        <f>COUNTIF(L$1:L99,"!")</f>
        <v>7</v>
      </c>
      <c r="B99" s="364" t="str">
        <f>A99&amp;"."&amp;COUNTIF(A$3:A99,A99)-1</f>
        <v>7.9</v>
      </c>
      <c r="C99" s="100" t="str">
        <f>IFERROR(VLOOKUP(D99,元件库!$B:$O,3,FALSE),"")</f>
        <v>指示灯</v>
      </c>
      <c r="D99" s="41" t="s">
        <v>35</v>
      </c>
      <c r="E99" s="101" t="s">
        <v>22</v>
      </c>
      <c r="F99" s="101" t="s">
        <v>32</v>
      </c>
      <c r="G99" s="41" t="s">
        <v>29</v>
      </c>
      <c r="H99" s="41">
        <v>3</v>
      </c>
      <c r="I99" s="117">
        <f t="shared" si="41"/>
        <v>2.0000000000000001E-4</v>
      </c>
      <c r="J99" s="117">
        <f t="shared" si="37"/>
        <v>6.0000000000000006E-4</v>
      </c>
      <c r="K99" s="52"/>
      <c r="L99" s="53">
        <f t="shared" si="38"/>
        <v>1</v>
      </c>
      <c r="M99" s="69">
        <f t="shared" si="39"/>
        <v>2.3100000000000005</v>
      </c>
      <c r="N99" s="55">
        <f>IFERROR(VLOOKUP(D99,元件库!$B:$O,10,FALSE),"1.00")</f>
        <v>0.55000000000000004</v>
      </c>
      <c r="O99" s="337">
        <f>IFERROR(VLOOKUP(D99,元件库!$B:$O,11,FALSE),"")</f>
        <v>4.2</v>
      </c>
      <c r="P99" s="57" t="str">
        <f t="shared" si="40"/>
        <v/>
      </c>
    </row>
    <row r="100" spans="1:17" s="23" customFormat="1" ht="16.5" customHeight="1" x14ac:dyDescent="0.2">
      <c r="A100" s="363">
        <f>COUNTIF(L$1:L100,"!")</f>
        <v>7</v>
      </c>
      <c r="B100" s="364" t="str">
        <f>A100&amp;"."&amp;COUNTIF(A$3:A100,A100)-1</f>
        <v>7.10</v>
      </c>
      <c r="C100" s="100" t="str">
        <f>IFERROR(VLOOKUP(D100,元件库!$B:$O,3,FALSE),"")</f>
        <v>铜排</v>
      </c>
      <c r="D100" s="41" t="s">
        <v>2816</v>
      </c>
      <c r="E100" s="101" t="s">
        <v>37</v>
      </c>
      <c r="F100" s="101" t="s">
        <v>38</v>
      </c>
      <c r="G100" s="41" t="s">
        <v>39</v>
      </c>
      <c r="H100" s="41">
        <v>6</v>
      </c>
      <c r="I100" s="117">
        <f t="shared" si="41"/>
        <v>4.0599999999999997E-2</v>
      </c>
      <c r="J100" s="117">
        <f t="shared" si="37"/>
        <v>0.24359999999999998</v>
      </c>
      <c r="K100" s="52"/>
      <c r="L100" s="53">
        <f t="shared" si="38"/>
        <v>1</v>
      </c>
      <c r="M100" s="69">
        <f t="shared" si="39"/>
        <v>405.84</v>
      </c>
      <c r="N100" s="55">
        <f>IFERROR(VLOOKUP(D100,元件库!$B:$O,10,FALSE),"1.00")</f>
        <v>1</v>
      </c>
      <c r="O100" s="337">
        <f>IFERROR(VLOOKUP(D100,元件库!$B:$O,11,FALSE),"")</f>
        <v>405.84</v>
      </c>
      <c r="P100" s="57" t="str">
        <f t="shared" si="40"/>
        <v/>
      </c>
    </row>
    <row r="101" spans="1:17" s="23" customFormat="1" ht="16.5" customHeight="1" x14ac:dyDescent="0.2">
      <c r="A101" s="363">
        <f>COUNTIF(L$1:L101,"!")</f>
        <v>7</v>
      </c>
      <c r="B101" s="364" t="str">
        <f>A101&amp;"."&amp;COUNTIF(A$3:A101,A101)-1</f>
        <v>7.11</v>
      </c>
      <c r="C101" s="100" t="str">
        <f>IFERROR(VLOOKUP(D101,元件库!$B:$O,3,FALSE),"")</f>
        <v>铜排</v>
      </c>
      <c r="D101" s="41" t="s">
        <v>2844</v>
      </c>
      <c r="E101" s="101" t="s">
        <v>37</v>
      </c>
      <c r="F101" s="101" t="s">
        <v>38</v>
      </c>
      <c r="G101" s="41" t="s">
        <v>39</v>
      </c>
      <c r="H101" s="41">
        <v>1.2</v>
      </c>
      <c r="I101" s="117">
        <f t="shared" si="41"/>
        <v>1.52E-2</v>
      </c>
      <c r="J101" s="117">
        <f t="shared" si="37"/>
        <v>1.8239999999999999E-2</v>
      </c>
      <c r="K101" s="52"/>
      <c r="L101" s="53">
        <f t="shared" si="38"/>
        <v>1</v>
      </c>
      <c r="M101" s="69">
        <f t="shared" si="39"/>
        <v>152.19</v>
      </c>
      <c r="N101" s="55">
        <f>IFERROR(VLOOKUP(D101,元件库!$B:$O,10,FALSE),"1.00")</f>
        <v>1</v>
      </c>
      <c r="O101" s="337">
        <f>IFERROR(VLOOKUP(D101,元件库!$B:$O,11,FALSE),"")</f>
        <v>152.19</v>
      </c>
      <c r="P101" s="57" t="str">
        <f t="shared" si="40"/>
        <v/>
      </c>
    </row>
    <row r="102" spans="1:17" s="23" customFormat="1" ht="16.5" customHeight="1" x14ac:dyDescent="0.2">
      <c r="A102" s="363">
        <f>COUNTIF(L$1:L102,"!")</f>
        <v>7</v>
      </c>
      <c r="B102" s="364" t="str">
        <f>A102&amp;"."&amp;COUNTIF(A$3:A102,A102)-1</f>
        <v>7.12</v>
      </c>
      <c r="C102" s="100" t="str">
        <f>IFERROR(VLOOKUP(D102,元件库!$B:$O,3,FALSE),"")</f>
        <v>铜排</v>
      </c>
      <c r="D102" s="41" t="s">
        <v>2845</v>
      </c>
      <c r="E102" s="101" t="s">
        <v>37</v>
      </c>
      <c r="F102" s="101" t="s">
        <v>38</v>
      </c>
      <c r="G102" s="41" t="s">
        <v>39</v>
      </c>
      <c r="H102" s="41">
        <v>2.4</v>
      </c>
      <c r="I102" s="117">
        <f t="shared" si="41"/>
        <v>7.6E-3</v>
      </c>
      <c r="J102" s="117">
        <f t="shared" si="37"/>
        <v>1.8239999999999999E-2</v>
      </c>
      <c r="K102" s="52"/>
      <c r="L102" s="53">
        <f t="shared" si="38"/>
        <v>1</v>
      </c>
      <c r="M102" s="69">
        <f t="shared" si="39"/>
        <v>76.094999999999999</v>
      </c>
      <c r="N102" s="55">
        <f>IFERROR(VLOOKUP(D102,元件库!$B:$O,10,FALSE),"1.00")</f>
        <v>1</v>
      </c>
      <c r="O102" s="337">
        <f>IFERROR(VLOOKUP(D102,元件库!$B:$O,11,FALSE),"")</f>
        <v>76.094999999999999</v>
      </c>
      <c r="P102" s="57" t="str">
        <f t="shared" si="40"/>
        <v/>
      </c>
    </row>
    <row r="103" spans="1:17" s="23" customFormat="1" ht="16.5" customHeight="1" x14ac:dyDescent="0.2">
      <c r="A103" s="363">
        <f>COUNTIF(L$1:L103,"!")</f>
        <v>7</v>
      </c>
      <c r="B103" s="364" t="str">
        <f>A103&amp;"."&amp;COUNTIF(A$3:A103,A103)-1</f>
        <v>7.13</v>
      </c>
      <c r="C103" s="100" t="s">
        <v>42</v>
      </c>
      <c r="D103" s="41" t="s">
        <v>2816</v>
      </c>
      <c r="E103" s="101" t="s">
        <v>37</v>
      </c>
      <c r="F103" s="101" t="s">
        <v>38</v>
      </c>
      <c r="G103" s="41" t="s">
        <v>39</v>
      </c>
      <c r="H103" s="41">
        <v>2.4</v>
      </c>
      <c r="I103" s="117">
        <f t="shared" si="41"/>
        <v>4.0599999999999997E-2</v>
      </c>
      <c r="J103" s="117">
        <f t="shared" si="37"/>
        <v>9.7439999999999985E-2</v>
      </c>
      <c r="K103" s="52"/>
      <c r="L103" s="53">
        <f t="shared" si="38"/>
        <v>1</v>
      </c>
      <c r="M103" s="69">
        <f t="shared" si="39"/>
        <v>405.84</v>
      </c>
      <c r="N103" s="55">
        <f>IFERROR(VLOOKUP(D103,元件库!$B:$O,10,FALSE),"1.00")</f>
        <v>1</v>
      </c>
      <c r="O103" s="337">
        <f>IFERROR(VLOOKUP(D103,元件库!$B:$O,11,FALSE),"")</f>
        <v>405.84</v>
      </c>
      <c r="P103" s="57" t="str">
        <f t="shared" si="40"/>
        <v/>
      </c>
      <c r="Q103" s="59" t="str">
        <f>IFERROR(LOOKUP(0,0/((A$2:A101=A103)*(C$2:C101="壳体W*H*D")),D$2:D101),LOOKUP(0,0/((A$2:A101=A103)*(C$2:C101="壳体W*D*H")),D$2:D101))</f>
        <v>GGD-800*600*2000</v>
      </c>
    </row>
    <row r="104" spans="1:17" s="23" customFormat="1" ht="16.5" customHeight="1" x14ac:dyDescent="0.2">
      <c r="A104" s="363">
        <f>COUNTIF(L$1:L104,"!")</f>
        <v>7</v>
      </c>
      <c r="B104" s="364" t="str">
        <f>A104&amp;"."&amp;COUNTIF(A$3:A104,A104)-1</f>
        <v>7.14</v>
      </c>
      <c r="C104" s="100" t="s">
        <v>44</v>
      </c>
      <c r="D104" s="41" t="s">
        <v>2816</v>
      </c>
      <c r="E104" s="101" t="s">
        <v>37</v>
      </c>
      <c r="F104" s="101" t="s">
        <v>38</v>
      </c>
      <c r="G104" s="41" t="s">
        <v>39</v>
      </c>
      <c r="H104" s="41">
        <v>0.8</v>
      </c>
      <c r="I104" s="117">
        <f t="shared" si="41"/>
        <v>4.0599999999999997E-2</v>
      </c>
      <c r="J104" s="117">
        <f t="shared" si="37"/>
        <v>3.2480000000000002E-2</v>
      </c>
      <c r="K104" s="52"/>
      <c r="L104" s="53">
        <f t="shared" si="38"/>
        <v>1</v>
      </c>
      <c r="M104" s="69">
        <f t="shared" si="39"/>
        <v>405.84</v>
      </c>
      <c r="N104" s="55">
        <f>IFERROR(VLOOKUP(D104,元件库!$B:$O,10,FALSE),"1.00")</f>
        <v>1</v>
      </c>
      <c r="O104" s="337">
        <f>IFERROR(VLOOKUP(D104,元件库!$B:$O,11,FALSE),"")</f>
        <v>405.84</v>
      </c>
      <c r="P104" s="57" t="str">
        <f t="shared" si="40"/>
        <v/>
      </c>
      <c r="Q104" s="59" t="str">
        <f>IFERROR(LOOKUP(0,0/((A$2:A103=A104)*(C$2:C103="壳体W*H*D")),D$2:D103),LOOKUP(0,0/((A$2:A103=A104)*(C$2:C103="壳体W*D*H")),D$2:D103))</f>
        <v>GGD-800*600*2000</v>
      </c>
    </row>
    <row r="105" spans="1:17" s="23" customFormat="1" ht="16.5" customHeight="1" x14ac:dyDescent="0.2">
      <c r="A105" s="363">
        <f>COUNTIF(L$1:L105,"!")</f>
        <v>7</v>
      </c>
      <c r="B105" s="364" t="str">
        <f>A105&amp;"."&amp;COUNTIF(A$3:A105,A105)-1</f>
        <v>7.15</v>
      </c>
      <c r="C105" s="100" t="s">
        <v>45</v>
      </c>
      <c r="D105" s="41" t="s">
        <v>2833</v>
      </c>
      <c r="E105" s="101" t="s">
        <v>37</v>
      </c>
      <c r="F105" s="101" t="s">
        <v>38</v>
      </c>
      <c r="G105" s="41" t="s">
        <v>39</v>
      </c>
      <c r="H105" s="41">
        <v>0.8</v>
      </c>
      <c r="I105" s="117">
        <f t="shared" si="41"/>
        <v>1.83E-2</v>
      </c>
      <c r="J105" s="117">
        <f t="shared" si="37"/>
        <v>1.464E-2</v>
      </c>
      <c r="K105" s="52"/>
      <c r="L105" s="53">
        <f t="shared" si="38"/>
        <v>1</v>
      </c>
      <c r="M105" s="69">
        <f t="shared" si="39"/>
        <v>182.62799999999999</v>
      </c>
      <c r="N105" s="55">
        <f>IFERROR(VLOOKUP(D105,元件库!$B:$O,10,FALSE),"1.00")</f>
        <v>1</v>
      </c>
      <c r="O105" s="337">
        <f>IFERROR(VLOOKUP(D105,元件库!$B:$O,11,FALSE),"")</f>
        <v>182.62799999999999</v>
      </c>
      <c r="P105" s="57" t="str">
        <f t="shared" si="40"/>
        <v/>
      </c>
      <c r="Q105" s="59" t="str">
        <f>IFERROR(LOOKUP(0,0/((A$2:A104=A105)*(C$2:C104="壳体W*H*D")),D$2:D104),LOOKUP(0,0/((A$2:A104=A105)*(C$2:C104="壳体W*D*H")),D$2:D104))</f>
        <v>GGD-800*600*2000</v>
      </c>
    </row>
    <row r="106" spans="1:17" s="23" customFormat="1" ht="16.5" customHeight="1" x14ac:dyDescent="0.2">
      <c r="A106" s="363">
        <f>COUNTIF(L$1:L106,"!")</f>
        <v>7</v>
      </c>
      <c r="B106" s="364" t="str">
        <f>A106&amp;"."&amp;COUNTIF(A$3:A106,A106)-1</f>
        <v>7.16</v>
      </c>
      <c r="C106" s="100" t="s">
        <v>51</v>
      </c>
      <c r="D106" s="41"/>
      <c r="E106" s="101"/>
      <c r="F106" s="101"/>
      <c r="G106" s="41" t="s">
        <v>2812</v>
      </c>
      <c r="H106" s="41">
        <v>1</v>
      </c>
      <c r="I106" s="117">
        <f t="shared" si="41"/>
        <v>0.11</v>
      </c>
      <c r="J106" s="117">
        <f t="shared" si="37"/>
        <v>0.11</v>
      </c>
      <c r="K106" s="52"/>
      <c r="L106" s="53">
        <f t="shared" si="38"/>
        <v>1</v>
      </c>
      <c r="M106" s="69">
        <f t="shared" si="39"/>
        <v>1100</v>
      </c>
      <c r="N106" s="55">
        <v>1</v>
      </c>
      <c r="O106" s="337">
        <v>1100</v>
      </c>
      <c r="P106" s="57" t="str">
        <f t="shared" si="40"/>
        <v>值</v>
      </c>
    </row>
    <row r="107" spans="1:17" s="23" customFormat="1" ht="27" customHeight="1" x14ac:dyDescent="0.2">
      <c r="A107" s="363">
        <f>COUNTIF(L$1:L107,"!")</f>
        <v>7</v>
      </c>
      <c r="B107" s="364" t="str">
        <f>A107&amp;"."&amp;COUNTIF(A$3:A107,A107)-1</f>
        <v>7.17</v>
      </c>
      <c r="C107" s="103" t="s">
        <v>53</v>
      </c>
      <c r="D107" s="104"/>
      <c r="E107" s="365"/>
      <c r="F107" s="101"/>
      <c r="G107" s="104"/>
      <c r="H107" s="104" t="s">
        <v>1</v>
      </c>
      <c r="I107" s="118" t="s">
        <v>52</v>
      </c>
      <c r="J107" s="366"/>
      <c r="K107" s="104"/>
      <c r="L107" s="53"/>
      <c r="M107" s="119"/>
      <c r="N107" s="70"/>
      <c r="O107" s="337"/>
    </row>
    <row r="108" spans="1:17" s="30" customFormat="1" ht="27" customHeight="1" x14ac:dyDescent="0.2">
      <c r="A108" s="363">
        <f>COUNTIF(L$1:L108,"!")</f>
        <v>7</v>
      </c>
      <c r="B108" s="364" t="str">
        <f>A108&amp;"."&amp;COUNTIF(A$3:A108,A108)-1</f>
        <v>7.18</v>
      </c>
      <c r="C108" s="103" t="s">
        <v>54</v>
      </c>
      <c r="D108" s="104"/>
      <c r="E108" s="365"/>
      <c r="F108" s="101"/>
      <c r="G108" s="104"/>
      <c r="H108" s="104"/>
      <c r="I108" s="118" t="s">
        <v>1</v>
      </c>
      <c r="J108" s="120">
        <f>SUM(J91:J107)</f>
        <v>1.03424</v>
      </c>
      <c r="K108" s="104"/>
      <c r="L108" s="53"/>
      <c r="M108" s="119"/>
      <c r="N108" s="70"/>
      <c r="O108" s="337"/>
      <c r="Q108" s="90"/>
    </row>
    <row r="109" spans="1:17" s="23" customFormat="1" ht="16.5" customHeight="1" x14ac:dyDescent="0.15">
      <c r="A109" s="97">
        <f>COUNTIF(L$1:L109,"!")</f>
        <v>8</v>
      </c>
      <c r="B109" s="32" t="str">
        <f>COUNTIF(L$2:L110,"!")&amp;"."</f>
        <v>8.</v>
      </c>
      <c r="C109" s="47" t="s">
        <v>2847</v>
      </c>
      <c r="D109" s="35" t="s">
        <v>2848</v>
      </c>
      <c r="E109" s="367" t="s">
        <v>22</v>
      </c>
      <c r="F109" s="367" t="s">
        <v>3261</v>
      </c>
      <c r="G109" s="34" t="s">
        <v>23</v>
      </c>
      <c r="H109" s="98">
        <v>1</v>
      </c>
      <c r="I109" s="115">
        <f>LOOKUP(0,0/((A109:A130=A109)*(C109:C130="合计金额（单位完整货物单价）")),J109:J130)</f>
        <v>1.2394600000000002</v>
      </c>
      <c r="J109" s="116">
        <f>IFERROR(I109*H109,"")</f>
        <v>1.2394600000000002</v>
      </c>
      <c r="K109" s="34"/>
      <c r="L109" s="48" t="s">
        <v>24</v>
      </c>
      <c r="M109" s="49"/>
      <c r="N109" s="50"/>
      <c r="O109" s="51"/>
      <c r="Q109" s="360">
        <f>COUNTIF(L$3:L109,"#")</f>
        <v>1</v>
      </c>
    </row>
    <row r="110" spans="1:17" s="23" customFormat="1" ht="16.5" customHeight="1" x14ac:dyDescent="0.2">
      <c r="A110" s="363">
        <f>COUNTIF(L$1:L110,"!")</f>
        <v>8</v>
      </c>
      <c r="B110" s="364" t="str">
        <f>A110&amp;"."&amp;COUNTIF(A$3:A110,A110)-1</f>
        <v>8.1</v>
      </c>
      <c r="C110" s="100" t="s">
        <v>25</v>
      </c>
      <c r="D110" s="41" t="s">
        <v>2846</v>
      </c>
      <c r="E110" s="101" t="s">
        <v>22</v>
      </c>
      <c r="F110" s="101" t="s">
        <v>3261</v>
      </c>
      <c r="G110" s="41" t="s">
        <v>23</v>
      </c>
      <c r="H110" s="41">
        <v>1</v>
      </c>
      <c r="I110" s="117">
        <f>IFERROR(ROUND(L110*M110/10000,4),"")</f>
        <v>0.155</v>
      </c>
      <c r="J110" s="117">
        <f t="shared" ref="J110:J119" si="42">IFERROR(I110*H110,"")</f>
        <v>0.155</v>
      </c>
      <c r="K110" s="52"/>
      <c r="L110" s="53">
        <f t="shared" ref="L110:L127" si="43">L$2</f>
        <v>1</v>
      </c>
      <c r="M110" s="69">
        <f t="shared" ref="M110:M119" si="44">IFERROR(O110*N110,"")</f>
        <v>1550</v>
      </c>
      <c r="N110" s="55">
        <f>IFERROR(VLOOKUP(D110,元件库!$B:$O,10,FALSE),"1.00")</f>
        <v>1</v>
      </c>
      <c r="O110" s="337">
        <f>IFERROR(VLOOKUP(D110,元件库!$B:$O,11,FALSE),"")</f>
        <v>1550</v>
      </c>
      <c r="P110" s="57" t="str">
        <f t="shared" ref="P110:P119" si="45">IF(_xlfn.ISFORMULA(O110),"","值")</f>
        <v/>
      </c>
      <c r="Q110" s="90"/>
    </row>
    <row r="111" spans="1:17" s="23" customFormat="1" ht="16.5" customHeight="1" x14ac:dyDescent="0.2">
      <c r="A111" s="363">
        <f>COUNTIF(L$1:L111,"!")</f>
        <v>8</v>
      </c>
      <c r="B111" s="364" t="str">
        <f>A111&amp;"."&amp;COUNTIF(A$3:A111,A111)-1</f>
        <v>8.2</v>
      </c>
      <c r="C111" s="100" t="str">
        <f>IFERROR(VLOOKUP(D111,元件库!$B:$O,3,FALSE),"")</f>
        <v>刀开关</v>
      </c>
      <c r="D111" s="41" t="s">
        <v>2849</v>
      </c>
      <c r="E111" s="101" t="s">
        <v>22</v>
      </c>
      <c r="F111" s="101" t="s">
        <v>32</v>
      </c>
      <c r="G111" s="41" t="s">
        <v>29</v>
      </c>
      <c r="H111" s="41">
        <v>1</v>
      </c>
      <c r="I111" s="117">
        <f>IFERROR(ROUND(L111*M111/10000,4),"")</f>
        <v>1.9300000000000001E-2</v>
      </c>
      <c r="J111" s="117">
        <f t="shared" si="42"/>
        <v>1.9300000000000001E-2</v>
      </c>
      <c r="K111" s="52"/>
      <c r="L111" s="53">
        <f t="shared" si="43"/>
        <v>1</v>
      </c>
      <c r="M111" s="69">
        <f t="shared" si="44"/>
        <v>192.50000000000003</v>
      </c>
      <c r="N111" s="55">
        <f>IFERROR(VLOOKUP(D111,元件库!$B:$O,10,FALSE),"1.00")</f>
        <v>0.55000000000000004</v>
      </c>
      <c r="O111" s="337">
        <f>IFERROR(VLOOKUP(D111,元件库!$B:$O,11,FALSE),"")</f>
        <v>350</v>
      </c>
      <c r="P111" s="57" t="str">
        <f t="shared" si="45"/>
        <v/>
      </c>
      <c r="Q111" s="90"/>
    </row>
    <row r="112" spans="1:17" s="23" customFormat="1" ht="16.5" customHeight="1" x14ac:dyDescent="0.2">
      <c r="A112" s="363">
        <f>COUNTIF(L$1:L112,"!")</f>
        <v>8</v>
      </c>
      <c r="B112" s="364" t="str">
        <f>A112&amp;"."&amp;COUNTIF(A$3:A112,A112)-1</f>
        <v>8.3</v>
      </c>
      <c r="C112" s="100" t="str">
        <f>IFERROR(VLOOKUP(D112,元件库!$B:$O,3,FALSE),"")</f>
        <v/>
      </c>
      <c r="D112" s="41" t="s">
        <v>31</v>
      </c>
      <c r="E112" s="101" t="s">
        <v>22</v>
      </c>
      <c r="F112" s="101" t="s">
        <v>32</v>
      </c>
      <c r="G112" s="41" t="s">
        <v>29</v>
      </c>
      <c r="H112" s="41">
        <v>3</v>
      </c>
      <c r="I112" s="117" t="str">
        <f t="shared" ref="I112:I119" si="46">IFERROR(ROUND(L112*M112/10000,4),"")</f>
        <v/>
      </c>
      <c r="J112" s="117" t="str">
        <f t="shared" si="42"/>
        <v/>
      </c>
      <c r="K112" s="52"/>
      <c r="L112" s="53">
        <f t="shared" si="43"/>
        <v>1</v>
      </c>
      <c r="M112" s="69" t="str">
        <f t="shared" si="44"/>
        <v/>
      </c>
      <c r="N112" s="55" t="str">
        <f>IFERROR(VLOOKUP(D112,元件库!$B:$O,10,FALSE),"1.00")</f>
        <v>1.00</v>
      </c>
      <c r="O112" s="337" t="str">
        <f>IFERROR(VLOOKUP(D112,元件库!$B:$O,11,FALSE),"")</f>
        <v/>
      </c>
      <c r="P112" s="57" t="str">
        <f t="shared" si="45"/>
        <v/>
      </c>
      <c r="Q112" s="90"/>
    </row>
    <row r="113" spans="1:17" s="23" customFormat="1" ht="16.5" customHeight="1" x14ac:dyDescent="0.2">
      <c r="A113" s="363">
        <f>COUNTIF(L$1:L113,"!")</f>
        <v>8</v>
      </c>
      <c r="B113" s="364" t="str">
        <f>A113&amp;"."&amp;COUNTIF(A$3:A113,A113)-1</f>
        <v>8.4</v>
      </c>
      <c r="C113" s="100" t="str">
        <f>IFERROR(VLOOKUP(D113,元件库!$B:$O,3,FALSE),"")</f>
        <v>电流.电压表</v>
      </c>
      <c r="D113" s="41" t="s">
        <v>145</v>
      </c>
      <c r="E113" s="101" t="s">
        <v>22</v>
      </c>
      <c r="F113" s="101" t="s">
        <v>32</v>
      </c>
      <c r="G113" s="41" t="s">
        <v>29</v>
      </c>
      <c r="H113" s="41">
        <v>3</v>
      </c>
      <c r="I113" s="117">
        <f t="shared" si="46"/>
        <v>1.4E-3</v>
      </c>
      <c r="J113" s="117">
        <f t="shared" si="42"/>
        <v>4.1999999999999997E-3</v>
      </c>
      <c r="K113" s="52"/>
      <c r="L113" s="53">
        <f t="shared" si="43"/>
        <v>1</v>
      </c>
      <c r="M113" s="69">
        <f t="shared" si="44"/>
        <v>13.750000000000002</v>
      </c>
      <c r="N113" s="55">
        <f>IFERROR(VLOOKUP(D113,元件库!$B:$O,10,FALSE),"1.00")</f>
        <v>0.55000000000000004</v>
      </c>
      <c r="O113" s="337">
        <f>IFERROR(VLOOKUP(D113,元件库!$B:$O,11,FALSE),"")</f>
        <v>25</v>
      </c>
      <c r="P113" s="57" t="str">
        <f t="shared" si="45"/>
        <v/>
      </c>
      <c r="Q113" s="90"/>
    </row>
    <row r="114" spans="1:17" s="23" customFormat="1" ht="16.5" customHeight="1" x14ac:dyDescent="0.2">
      <c r="A114" s="363">
        <f>COUNTIF(L$1:L114,"!")</f>
        <v>8</v>
      </c>
      <c r="B114" s="364" t="str">
        <f>A114&amp;"."&amp;COUNTIF(A$3:A114,A114)-1</f>
        <v>8.5</v>
      </c>
      <c r="C114" s="100" t="str">
        <f>IFERROR(VLOOKUP(D114,元件库!$B:$O,3,FALSE),"")</f>
        <v>电流.电压表</v>
      </c>
      <c r="D114" s="41" t="s">
        <v>150</v>
      </c>
      <c r="E114" s="101" t="s">
        <v>22</v>
      </c>
      <c r="F114" s="101" t="s">
        <v>32</v>
      </c>
      <c r="G114" s="41" t="s">
        <v>29</v>
      </c>
      <c r="H114" s="41">
        <v>1</v>
      </c>
      <c r="I114" s="117">
        <f t="shared" si="46"/>
        <v>1.4E-3</v>
      </c>
      <c r="J114" s="117">
        <f t="shared" si="42"/>
        <v>1.4E-3</v>
      </c>
      <c r="K114" s="52"/>
      <c r="L114" s="53">
        <f t="shared" si="43"/>
        <v>1</v>
      </c>
      <c r="M114" s="69">
        <f t="shared" si="44"/>
        <v>13.750000000000002</v>
      </c>
      <c r="N114" s="55">
        <f>IFERROR(VLOOKUP(D114,元件库!$B:$O,10,FALSE),"1.00")</f>
        <v>0.55000000000000004</v>
      </c>
      <c r="O114" s="337">
        <f>IFERROR(VLOOKUP(D114,元件库!$B:$O,11,FALSE),"")</f>
        <v>25</v>
      </c>
      <c r="P114" s="57" t="str">
        <f t="shared" si="45"/>
        <v/>
      </c>
    </row>
    <row r="115" spans="1:17" s="23" customFormat="1" ht="16.5" customHeight="1" x14ac:dyDescent="0.2">
      <c r="A115" s="363">
        <f>COUNTIF(L$1:L115,"!")</f>
        <v>8</v>
      </c>
      <c r="B115" s="364" t="str">
        <f>A115&amp;"."&amp;COUNTIF(A$3:A115,A115)-1</f>
        <v>8.6</v>
      </c>
      <c r="C115" s="100" t="str">
        <f>IFERROR(VLOOKUP(D115,元件库!$B:$O,3,FALSE),"")</f>
        <v/>
      </c>
      <c r="D115" s="41" t="s">
        <v>2830</v>
      </c>
      <c r="E115" s="101" t="s">
        <v>22</v>
      </c>
      <c r="F115" s="101" t="s">
        <v>32</v>
      </c>
      <c r="G115" s="41" t="s">
        <v>29</v>
      </c>
      <c r="H115" s="41">
        <v>1</v>
      </c>
      <c r="I115" s="117" t="str">
        <f t="shared" si="46"/>
        <v/>
      </c>
      <c r="J115" s="117" t="str">
        <f t="shared" si="42"/>
        <v/>
      </c>
      <c r="K115" s="52"/>
      <c r="L115" s="53">
        <f t="shared" si="43"/>
        <v>1</v>
      </c>
      <c r="M115" s="69" t="str">
        <f t="shared" si="44"/>
        <v/>
      </c>
      <c r="N115" s="55" t="str">
        <f>IFERROR(VLOOKUP(D115,元件库!$B:$O,10,FALSE),"1.00")</f>
        <v>1.00</v>
      </c>
      <c r="O115" s="337" t="str">
        <f>IFERROR(VLOOKUP(D115,元件库!$B:$O,11,FALSE),"")</f>
        <v/>
      </c>
      <c r="P115" s="57" t="str">
        <f t="shared" si="45"/>
        <v/>
      </c>
    </row>
    <row r="116" spans="1:17" s="23" customFormat="1" ht="16.5" customHeight="1" x14ac:dyDescent="0.2">
      <c r="A116" s="363">
        <f>COUNTIF(L$1:L116,"!")</f>
        <v>8</v>
      </c>
      <c r="B116" s="364" t="str">
        <f>A116&amp;"."&amp;COUNTIF(A$3:A116,A116)-1</f>
        <v>8.7</v>
      </c>
      <c r="C116" s="100" t="str">
        <f>IFERROR(VLOOKUP(D116,元件库!$B:$O,3,FALSE),"")</f>
        <v>智能电容器</v>
      </c>
      <c r="D116" s="41" t="s">
        <v>2850</v>
      </c>
      <c r="E116" s="101" t="s">
        <v>22</v>
      </c>
      <c r="F116" s="101" t="s">
        <v>1467</v>
      </c>
      <c r="G116" s="41" t="s">
        <v>29</v>
      </c>
      <c r="H116" s="41">
        <v>6</v>
      </c>
      <c r="I116" s="117">
        <f t="shared" si="46"/>
        <v>5.6000000000000001E-2</v>
      </c>
      <c r="J116" s="117">
        <f t="shared" si="42"/>
        <v>0.33600000000000002</v>
      </c>
      <c r="K116" s="52"/>
      <c r="L116" s="53">
        <f t="shared" si="43"/>
        <v>1</v>
      </c>
      <c r="M116" s="69">
        <f t="shared" si="44"/>
        <v>560</v>
      </c>
      <c r="N116" s="55">
        <f>IFERROR(VLOOKUP(D116,元件库!$B:$O,10,FALSE),"1.00")</f>
        <v>1</v>
      </c>
      <c r="O116" s="337">
        <f>IFERROR(VLOOKUP(D116,元件库!$B:$O,11,FALSE),"")</f>
        <v>560</v>
      </c>
      <c r="P116" s="57" t="str">
        <f t="shared" si="45"/>
        <v/>
      </c>
    </row>
    <row r="117" spans="1:17" s="23" customFormat="1" ht="16.5" customHeight="1" x14ac:dyDescent="0.2">
      <c r="A117" s="363">
        <f>COUNTIF(L$1:L117,"!")</f>
        <v>8</v>
      </c>
      <c r="B117" s="364" t="str">
        <f>A117&amp;"."&amp;COUNTIF(A$3:A117,A117)-1</f>
        <v>8.8</v>
      </c>
      <c r="C117" s="100" t="str">
        <f>IFERROR(VLOOKUP(D117,元件库!$B:$O,3,FALSE),"")</f>
        <v>智能电容器</v>
      </c>
      <c r="D117" s="41" t="s">
        <v>2851</v>
      </c>
      <c r="E117" s="101" t="s">
        <v>22</v>
      </c>
      <c r="F117" s="101" t="s">
        <v>1467</v>
      </c>
      <c r="G117" s="41" t="s">
        <v>29</v>
      </c>
      <c r="H117" s="41">
        <v>6</v>
      </c>
      <c r="I117" s="117">
        <f t="shared" si="46"/>
        <v>5.7000000000000002E-2</v>
      </c>
      <c r="J117" s="117">
        <f t="shared" si="42"/>
        <v>0.34200000000000003</v>
      </c>
      <c r="K117" s="52"/>
      <c r="L117" s="53">
        <f t="shared" si="43"/>
        <v>1</v>
      </c>
      <c r="M117" s="69">
        <f t="shared" si="44"/>
        <v>570</v>
      </c>
      <c r="N117" s="55">
        <f>IFERROR(VLOOKUP(D117,元件库!$B:$O,10,FALSE),"1.00")</f>
        <v>1</v>
      </c>
      <c r="O117" s="337">
        <f>IFERROR(VLOOKUP(D117,元件库!$B:$O,11,FALSE),"")</f>
        <v>570</v>
      </c>
      <c r="P117" s="57" t="str">
        <f t="shared" si="45"/>
        <v/>
      </c>
    </row>
    <row r="118" spans="1:17" s="23" customFormat="1" ht="16.5" customHeight="1" x14ac:dyDescent="0.2">
      <c r="A118" s="363">
        <f>COUNTIF(L$1:L118,"!")</f>
        <v>8</v>
      </c>
      <c r="B118" s="364" t="str">
        <f>A118&amp;"."&amp;COUNTIF(A$3:A118,A118)-1</f>
        <v>8.9</v>
      </c>
      <c r="C118" s="100" t="str">
        <f>IFERROR(VLOOKUP(D118,元件库!$B:$O,3,FALSE),"")</f>
        <v>补偿控制器</v>
      </c>
      <c r="D118" s="41" t="s">
        <v>1481</v>
      </c>
      <c r="E118" s="101" t="s">
        <v>22</v>
      </c>
      <c r="F118" s="101" t="s">
        <v>1467</v>
      </c>
      <c r="G118" s="41" t="s">
        <v>29</v>
      </c>
      <c r="H118" s="41">
        <v>1</v>
      </c>
      <c r="I118" s="117">
        <f t="shared" si="46"/>
        <v>3.6999999999999998E-2</v>
      </c>
      <c r="J118" s="117">
        <f t="shared" si="42"/>
        <v>3.6999999999999998E-2</v>
      </c>
      <c r="K118" s="52"/>
      <c r="L118" s="53">
        <f t="shared" si="43"/>
        <v>1</v>
      </c>
      <c r="M118" s="69">
        <f t="shared" si="44"/>
        <v>370</v>
      </c>
      <c r="N118" s="55">
        <f>IFERROR(VLOOKUP(D118,元件库!$B:$O,10,FALSE),"1.00")</f>
        <v>1</v>
      </c>
      <c r="O118" s="337">
        <f>IFERROR(VLOOKUP(D118,元件库!$B:$O,11,FALSE),"")</f>
        <v>370</v>
      </c>
      <c r="P118" s="57" t="str">
        <f t="shared" si="45"/>
        <v/>
      </c>
    </row>
    <row r="119" spans="1:17" s="23" customFormat="1" ht="16.5" customHeight="1" x14ac:dyDescent="0.2">
      <c r="A119" s="363">
        <f>COUNTIF(L$1:L119,"!")</f>
        <v>8</v>
      </c>
      <c r="B119" s="364" t="str">
        <f>A119&amp;"."&amp;COUNTIF(A$3:A119,A119)-1</f>
        <v>8.10</v>
      </c>
      <c r="C119" s="100" t="str">
        <f>IFERROR(VLOOKUP(D119,元件库!$B:$O,3,FALSE),"")</f>
        <v>浪涌保护器</v>
      </c>
      <c r="D119" s="41" t="s">
        <v>1452</v>
      </c>
      <c r="E119" s="101" t="s">
        <v>22</v>
      </c>
      <c r="F119" s="101" t="s">
        <v>67</v>
      </c>
      <c r="G119" s="41" t="s">
        <v>29</v>
      </c>
      <c r="H119" s="41">
        <v>1</v>
      </c>
      <c r="I119" s="117">
        <f t="shared" si="46"/>
        <v>1.9E-2</v>
      </c>
      <c r="J119" s="117">
        <f t="shared" si="42"/>
        <v>1.9E-2</v>
      </c>
      <c r="K119" s="52"/>
      <c r="L119" s="53">
        <f t="shared" si="43"/>
        <v>1</v>
      </c>
      <c r="M119" s="69">
        <f t="shared" si="44"/>
        <v>190</v>
      </c>
      <c r="N119" s="55">
        <f>IFERROR(VLOOKUP(D119,元件库!$B:$O,10,FALSE),"1.00")</f>
        <v>1</v>
      </c>
      <c r="O119" s="337">
        <f>IFERROR(VLOOKUP(D119,元件库!$B:$O,11,FALSE),"")</f>
        <v>190</v>
      </c>
      <c r="P119" s="57" t="str">
        <f t="shared" si="45"/>
        <v/>
      </c>
    </row>
    <row r="120" spans="1:17" s="23" customFormat="1" ht="16.5" customHeight="1" x14ac:dyDescent="0.2">
      <c r="A120" s="363">
        <f>COUNTIF(L$1:L120,"!")</f>
        <v>8</v>
      </c>
      <c r="B120" s="364" t="str">
        <f>A120&amp;"."&amp;COUNTIF(A$3:A120,A120)-1</f>
        <v>8.11</v>
      </c>
      <c r="C120" s="100" t="str">
        <f>IFERROR(VLOOKUP(D120,元件库!$B:$O,3,FALSE),"")</f>
        <v/>
      </c>
      <c r="D120" s="41" t="s">
        <v>65</v>
      </c>
      <c r="E120" s="101" t="s">
        <v>22</v>
      </c>
      <c r="F120" s="101" t="s">
        <v>32</v>
      </c>
      <c r="G120" s="41" t="s">
        <v>29</v>
      </c>
      <c r="H120" s="41">
        <v>4</v>
      </c>
      <c r="I120" s="117" t="str">
        <f>IFERROR(ROUND(L120*M120/10000,4),"")</f>
        <v/>
      </c>
      <c r="J120" s="117" t="str">
        <f>IFERROR(I120*H120,"")</f>
        <v/>
      </c>
      <c r="K120" s="52"/>
      <c r="L120" s="53">
        <f t="shared" si="43"/>
        <v>1</v>
      </c>
      <c r="M120" s="69" t="str">
        <f>IFERROR(O120*N120,"")</f>
        <v/>
      </c>
      <c r="N120" s="55" t="str">
        <f>IFERROR(VLOOKUP(D120,元件库!$B:$O,10,FALSE),"1.00")</f>
        <v>1.00</v>
      </c>
      <c r="O120" s="337" t="str">
        <f>IFERROR(VLOOKUP(D120,元件库!$B:$O,11,FALSE),"")</f>
        <v/>
      </c>
      <c r="P120" s="57" t="str">
        <f>IF(_xlfn.ISFORMULA(O120),"","值")</f>
        <v/>
      </c>
    </row>
    <row r="121" spans="1:17" s="23" customFormat="1" ht="16.5" customHeight="1" x14ac:dyDescent="0.2">
      <c r="A121" s="363">
        <f>COUNTIF(L$1:L121,"!")</f>
        <v>8</v>
      </c>
      <c r="B121" s="364" t="str">
        <f>A121&amp;"."&amp;COUNTIF(A$3:A121,A121)-1</f>
        <v>8.12</v>
      </c>
      <c r="C121" s="100" t="str">
        <f>IFERROR(VLOOKUP(D121,元件库!$B:$O,3,FALSE),"")</f>
        <v/>
      </c>
      <c r="D121" s="41" t="s">
        <v>2832</v>
      </c>
      <c r="E121" s="101" t="s">
        <v>22</v>
      </c>
      <c r="F121" s="101" t="s">
        <v>32</v>
      </c>
      <c r="G121" s="41" t="s">
        <v>29</v>
      </c>
      <c r="H121" s="41">
        <v>16</v>
      </c>
      <c r="I121" s="117" t="str">
        <f>IFERROR(ROUND(L121*M121/10000,4),"")</f>
        <v/>
      </c>
      <c r="J121" s="117" t="str">
        <f>IFERROR(I121*H121,"")</f>
        <v/>
      </c>
      <c r="K121" s="52"/>
      <c r="L121" s="53">
        <f t="shared" si="43"/>
        <v>1</v>
      </c>
      <c r="M121" s="69" t="str">
        <f>IFERROR(O121*N121,"")</f>
        <v/>
      </c>
      <c r="N121" s="55" t="str">
        <f>IFERROR(VLOOKUP(D121,元件库!$B:$O,10,FALSE),"1.00")</f>
        <v>1.00</v>
      </c>
      <c r="O121" s="337" t="str">
        <f>IFERROR(VLOOKUP(D121,元件库!$B:$O,11,FALSE),"")</f>
        <v/>
      </c>
      <c r="P121" s="57" t="str">
        <f>IF(_xlfn.ISFORMULA(O121),"","值")</f>
        <v/>
      </c>
    </row>
    <row r="122" spans="1:17" s="23" customFormat="1" ht="16.5" customHeight="1" x14ac:dyDescent="0.2">
      <c r="A122" s="363">
        <f>COUNTIF(L$1:L122,"!")</f>
        <v>8</v>
      </c>
      <c r="B122" s="364" t="str">
        <f>A122&amp;"."&amp;COUNTIF(A$3:A122,A122)-1</f>
        <v>8.13</v>
      </c>
      <c r="C122" s="100" t="str">
        <f>IFERROR(VLOOKUP(D122,元件库!$B:$O,3,FALSE),"")</f>
        <v>指示灯</v>
      </c>
      <c r="D122" s="41" t="s">
        <v>35</v>
      </c>
      <c r="E122" s="101" t="s">
        <v>22</v>
      </c>
      <c r="F122" s="101" t="s">
        <v>32</v>
      </c>
      <c r="G122" s="41" t="s">
        <v>29</v>
      </c>
      <c r="H122" s="41">
        <v>12</v>
      </c>
      <c r="I122" s="117">
        <f>IFERROR(ROUND(L122*M122/10000,4),"")</f>
        <v>2.0000000000000001E-4</v>
      </c>
      <c r="J122" s="117">
        <f>IFERROR(I122*H122,"")</f>
        <v>2.4000000000000002E-3</v>
      </c>
      <c r="K122" s="52"/>
      <c r="L122" s="53">
        <f t="shared" si="43"/>
        <v>1</v>
      </c>
      <c r="M122" s="69">
        <f>IFERROR(O122*N122,"")</f>
        <v>2.3100000000000005</v>
      </c>
      <c r="N122" s="55">
        <f>IFERROR(VLOOKUP(D122,元件库!$B:$O,10,FALSE),"1.00")</f>
        <v>0.55000000000000004</v>
      </c>
      <c r="O122" s="337">
        <f>IFERROR(VLOOKUP(D122,元件库!$B:$O,11,FALSE),"")</f>
        <v>4.2</v>
      </c>
      <c r="P122" s="57" t="str">
        <f>IF(_xlfn.ISFORMULA(O122),"","值")</f>
        <v/>
      </c>
    </row>
    <row r="123" spans="1:17" s="23" customFormat="1" ht="16.5" customHeight="1" x14ac:dyDescent="0.2">
      <c r="A123" s="363">
        <f>COUNTIF(L$1:L123,"!")</f>
        <v>8</v>
      </c>
      <c r="B123" s="364" t="str">
        <f>A123&amp;"."&amp;COUNTIF(A$3:A123,A123)-1</f>
        <v>8.14</v>
      </c>
      <c r="C123" s="100" t="str">
        <f>IFERROR(VLOOKUP(D123,元件库!$B:$O,3,FALSE),"")</f>
        <v>铜排</v>
      </c>
      <c r="D123" s="41" t="s">
        <v>2852</v>
      </c>
      <c r="E123" s="101" t="s">
        <v>37</v>
      </c>
      <c r="F123" s="101" t="s">
        <v>38</v>
      </c>
      <c r="G123" s="41" t="s">
        <v>39</v>
      </c>
      <c r="H123" s="41">
        <v>6</v>
      </c>
      <c r="I123" s="117">
        <f t="shared" ref="I123:I127" si="47">IFERROR(ROUND(L123*M123/10000,4),"")</f>
        <v>8.0999999999999996E-3</v>
      </c>
      <c r="J123" s="117">
        <f t="shared" ref="J123:J127" si="48">IFERROR(I123*H123,"")</f>
        <v>4.8599999999999997E-2</v>
      </c>
      <c r="K123" s="52"/>
      <c r="L123" s="53">
        <f t="shared" si="43"/>
        <v>1</v>
      </c>
      <c r="M123" s="69">
        <f t="shared" ref="M123:M127" si="49">IFERROR(O123*N123,"")</f>
        <v>81.167999999999992</v>
      </c>
      <c r="N123" s="55">
        <f>IFERROR(VLOOKUP(D123,元件库!$B:$O,10,FALSE),"1.00")</f>
        <v>1</v>
      </c>
      <c r="O123" s="337">
        <f>IFERROR(VLOOKUP(D123,元件库!$B:$O,11,FALSE),"")</f>
        <v>81.167999999999992</v>
      </c>
      <c r="P123" s="57" t="str">
        <f t="shared" ref="P123:P127" si="50">IF(_xlfn.ISFORMULA(O123),"","值")</f>
        <v/>
      </c>
    </row>
    <row r="124" spans="1:17" s="23" customFormat="1" ht="16.5" customHeight="1" x14ac:dyDescent="0.2">
      <c r="A124" s="363">
        <f>COUNTIF(L$1:L124,"!")</f>
        <v>8</v>
      </c>
      <c r="B124" s="364" t="str">
        <f>A124&amp;"."&amp;COUNTIF(A$3:A124,A124)-1</f>
        <v>8.15</v>
      </c>
      <c r="C124" s="100" t="s">
        <v>42</v>
      </c>
      <c r="D124" s="41" t="s">
        <v>2816</v>
      </c>
      <c r="E124" s="101" t="s">
        <v>37</v>
      </c>
      <c r="F124" s="101" t="s">
        <v>38</v>
      </c>
      <c r="G124" s="41" t="s">
        <v>39</v>
      </c>
      <c r="H124" s="41">
        <v>2.4</v>
      </c>
      <c r="I124" s="117">
        <f t="shared" si="47"/>
        <v>4.0599999999999997E-2</v>
      </c>
      <c r="J124" s="117">
        <f t="shared" si="48"/>
        <v>9.7439999999999985E-2</v>
      </c>
      <c r="K124" s="52"/>
      <c r="L124" s="53">
        <f t="shared" si="43"/>
        <v>1</v>
      </c>
      <c r="M124" s="69">
        <f t="shared" si="49"/>
        <v>405.84</v>
      </c>
      <c r="N124" s="55">
        <f>IFERROR(VLOOKUP(D124,元件库!$B:$O,10,FALSE),"1.00")</f>
        <v>1</v>
      </c>
      <c r="O124" s="337">
        <f>IFERROR(VLOOKUP(D124,元件库!$B:$O,11,FALSE),"")</f>
        <v>405.84</v>
      </c>
      <c r="P124" s="57" t="str">
        <f t="shared" si="50"/>
        <v/>
      </c>
    </row>
    <row r="125" spans="1:17" s="23" customFormat="1" ht="16.5" customHeight="1" x14ac:dyDescent="0.2">
      <c r="A125" s="363">
        <f>COUNTIF(L$1:L125,"!")</f>
        <v>8</v>
      </c>
      <c r="B125" s="364" t="str">
        <f>A125&amp;"."&amp;COUNTIF(A$3:A125,A125)-1</f>
        <v>8.16</v>
      </c>
      <c r="C125" s="100" t="s">
        <v>44</v>
      </c>
      <c r="D125" s="41" t="s">
        <v>2816</v>
      </c>
      <c r="E125" s="101" t="s">
        <v>37</v>
      </c>
      <c r="F125" s="101" t="s">
        <v>38</v>
      </c>
      <c r="G125" s="41" t="s">
        <v>39</v>
      </c>
      <c r="H125" s="41">
        <v>0.8</v>
      </c>
      <c r="I125" s="117">
        <f t="shared" si="47"/>
        <v>4.0599999999999997E-2</v>
      </c>
      <c r="J125" s="117">
        <f t="shared" si="48"/>
        <v>3.2480000000000002E-2</v>
      </c>
      <c r="K125" s="52"/>
      <c r="L125" s="53">
        <f t="shared" si="43"/>
        <v>1</v>
      </c>
      <c r="M125" s="69">
        <f t="shared" si="49"/>
        <v>405.84</v>
      </c>
      <c r="N125" s="55">
        <f>IFERROR(VLOOKUP(D125,元件库!$B:$O,10,FALSE),"1.00")</f>
        <v>1</v>
      </c>
      <c r="O125" s="337">
        <f>IFERROR(VLOOKUP(D125,元件库!$B:$O,11,FALSE),"")</f>
        <v>405.84</v>
      </c>
      <c r="P125" s="57" t="str">
        <f t="shared" si="50"/>
        <v/>
      </c>
    </row>
    <row r="126" spans="1:17" s="23" customFormat="1" ht="16.5" customHeight="1" x14ac:dyDescent="0.2">
      <c r="A126" s="363">
        <f>COUNTIF(L$1:L126,"!")</f>
        <v>8</v>
      </c>
      <c r="B126" s="364" t="str">
        <f>A126&amp;"."&amp;COUNTIF(A$3:A126,A126)-1</f>
        <v>8.17</v>
      </c>
      <c r="C126" s="100" t="s">
        <v>45</v>
      </c>
      <c r="D126" s="41" t="s">
        <v>2833</v>
      </c>
      <c r="E126" s="101" t="s">
        <v>37</v>
      </c>
      <c r="F126" s="101" t="s">
        <v>38</v>
      </c>
      <c r="G126" s="41" t="s">
        <v>39</v>
      </c>
      <c r="H126" s="41">
        <v>0.8</v>
      </c>
      <c r="I126" s="117">
        <f t="shared" si="47"/>
        <v>1.83E-2</v>
      </c>
      <c r="J126" s="117">
        <f t="shared" si="48"/>
        <v>1.464E-2</v>
      </c>
      <c r="K126" s="52"/>
      <c r="L126" s="53">
        <f t="shared" si="43"/>
        <v>1</v>
      </c>
      <c r="M126" s="69">
        <f t="shared" si="49"/>
        <v>182.62799999999999</v>
      </c>
      <c r="N126" s="55">
        <f>IFERROR(VLOOKUP(D126,元件库!$B:$O,10,FALSE),"1.00")</f>
        <v>1</v>
      </c>
      <c r="O126" s="337">
        <f>IFERROR(VLOOKUP(D126,元件库!$B:$O,11,FALSE),"")</f>
        <v>182.62799999999999</v>
      </c>
      <c r="P126" s="57" t="str">
        <f t="shared" si="50"/>
        <v/>
      </c>
    </row>
    <row r="127" spans="1:17" s="23" customFormat="1" ht="16.5" customHeight="1" x14ac:dyDescent="0.2">
      <c r="A127" s="363">
        <f>COUNTIF(L$1:L127,"!")</f>
        <v>8</v>
      </c>
      <c r="B127" s="364" t="str">
        <f>A127&amp;"."&amp;COUNTIF(A$3:A127,A127)-1</f>
        <v>8.18</v>
      </c>
      <c r="C127" s="100" t="s">
        <v>51</v>
      </c>
      <c r="D127" s="41"/>
      <c r="E127" s="101"/>
      <c r="F127" s="101"/>
      <c r="G127" s="41" t="s">
        <v>2812</v>
      </c>
      <c r="H127" s="41">
        <v>1</v>
      </c>
      <c r="I127" s="117">
        <f t="shared" si="47"/>
        <v>0.13</v>
      </c>
      <c r="J127" s="117">
        <f t="shared" si="48"/>
        <v>0.13</v>
      </c>
      <c r="K127" s="52"/>
      <c r="L127" s="53">
        <f t="shared" si="43"/>
        <v>1</v>
      </c>
      <c r="M127" s="69">
        <f t="shared" si="49"/>
        <v>1300</v>
      </c>
      <c r="N127" s="55">
        <v>1</v>
      </c>
      <c r="O127" s="337">
        <v>1300</v>
      </c>
      <c r="P127" s="57" t="str">
        <f t="shared" si="50"/>
        <v>值</v>
      </c>
    </row>
    <row r="128" spans="1:17" s="23" customFormat="1" ht="27" customHeight="1" x14ac:dyDescent="0.2">
      <c r="A128" s="363">
        <f>COUNTIF(L$1:L128,"!")</f>
        <v>8</v>
      </c>
      <c r="B128" s="364" t="str">
        <f>A128&amp;"."&amp;COUNTIF(A$3:A128,A128)-1</f>
        <v>8.19</v>
      </c>
      <c r="C128" s="103" t="s">
        <v>53</v>
      </c>
      <c r="D128" s="104"/>
      <c r="E128" s="365"/>
      <c r="F128" s="101"/>
      <c r="G128" s="104"/>
      <c r="H128" s="104" t="s">
        <v>1</v>
      </c>
      <c r="I128" s="118" t="s">
        <v>52</v>
      </c>
      <c r="J128" s="366"/>
      <c r="K128" s="104"/>
      <c r="L128" s="53"/>
      <c r="M128" s="119"/>
      <c r="N128" s="70"/>
      <c r="O128" s="337"/>
    </row>
    <row r="129" spans="1:19" s="30" customFormat="1" ht="27" customHeight="1" x14ac:dyDescent="0.2">
      <c r="A129" s="363">
        <f>COUNTIF(L$1:L129,"!")</f>
        <v>8</v>
      </c>
      <c r="B129" s="364" t="str">
        <f>A129&amp;"."&amp;COUNTIF(A$3:A129,A129)-1</f>
        <v>8.20</v>
      </c>
      <c r="C129" s="103" t="s">
        <v>54</v>
      </c>
      <c r="D129" s="104"/>
      <c r="E129" s="365"/>
      <c r="F129" s="101"/>
      <c r="G129" s="104"/>
      <c r="H129" s="104"/>
      <c r="I129" s="118" t="s">
        <v>1</v>
      </c>
      <c r="J129" s="120">
        <f>SUM(J110:J128)</f>
        <v>1.2394600000000002</v>
      </c>
      <c r="K129" s="104"/>
      <c r="L129" s="53"/>
      <c r="M129" s="119"/>
      <c r="N129" s="70"/>
      <c r="O129" s="337"/>
      <c r="Q129" s="90"/>
    </row>
    <row r="130" spans="1:19" s="23" customFormat="1" ht="16.5" customHeight="1" x14ac:dyDescent="0.15">
      <c r="A130" s="97">
        <f>COUNTIF(L$1:L130,"!")</f>
        <v>9</v>
      </c>
      <c r="B130" s="32" t="str">
        <f>COUNTIF(L$2:L130,"!")&amp;"."</f>
        <v>9.</v>
      </c>
      <c r="C130" s="47" t="s">
        <v>2853</v>
      </c>
      <c r="D130" s="35" t="s">
        <v>2854</v>
      </c>
      <c r="E130" s="367" t="s">
        <v>22</v>
      </c>
      <c r="F130" s="367" t="s">
        <v>3261</v>
      </c>
      <c r="G130" s="34" t="s">
        <v>23</v>
      </c>
      <c r="H130" s="98">
        <v>1</v>
      </c>
      <c r="I130" s="115">
        <f>LOOKUP(0,0/((A130:A147=A130)*(C130:C147="合计金额（单位完整货物单价）")),J130:J147)</f>
        <v>3.68</v>
      </c>
      <c r="J130" s="116">
        <f>IFERROR(I130*H130,"")</f>
        <v>3.68</v>
      </c>
      <c r="K130" s="34"/>
      <c r="L130" s="48" t="s">
        <v>24</v>
      </c>
      <c r="M130" s="49"/>
      <c r="N130" s="50"/>
      <c r="O130" s="51"/>
      <c r="Q130" s="360">
        <f>COUNTIF(L$3:L130,"#")</f>
        <v>1</v>
      </c>
    </row>
    <row r="131" spans="1:19" s="23" customFormat="1" ht="16.5" customHeight="1" x14ac:dyDescent="0.2">
      <c r="A131" s="363">
        <f>COUNTIF(L$1:L131,"!")</f>
        <v>9</v>
      </c>
      <c r="B131" s="364" t="str">
        <f>A131&amp;"."&amp;COUNTIF(A$3:A131,A131)-1</f>
        <v>9.1</v>
      </c>
      <c r="C131" s="100" t="s">
        <v>2855</v>
      </c>
      <c r="D131" s="41" t="s">
        <v>2856</v>
      </c>
      <c r="E131" s="101" t="s">
        <v>2821</v>
      </c>
      <c r="F131" s="100" t="s">
        <v>3261</v>
      </c>
      <c r="G131" s="100" t="str">
        <f>G130</f>
        <v>台</v>
      </c>
      <c r="H131" s="41">
        <v>1</v>
      </c>
      <c r="I131" s="117">
        <f t="shared" ref="I131:I132" si="51">IFERROR(ROUND(L131*M131/10000,4),"")</f>
        <v>3.45</v>
      </c>
      <c r="J131" s="117">
        <f t="shared" ref="J131:J132" si="52">IFERROR(I131*H131,"")</f>
        <v>3.45</v>
      </c>
      <c r="K131" s="52"/>
      <c r="L131" s="53">
        <f t="shared" ref="L131:L132" si="53">L$2</f>
        <v>1</v>
      </c>
      <c r="M131" s="69">
        <f t="shared" ref="M131:M132" si="54">IFERROR(O131*N131,"")</f>
        <v>34500</v>
      </c>
      <c r="N131" s="55">
        <v>1</v>
      </c>
      <c r="O131" s="337">
        <f>R131*S131</f>
        <v>34500</v>
      </c>
      <c r="P131" s="57" t="str">
        <f t="shared" ref="P131:P132" si="55">IF(_xlfn.ISFORMULA(O131),"","值")</f>
        <v/>
      </c>
      <c r="Q131" s="30" t="s">
        <v>2854</v>
      </c>
      <c r="R131" s="30">
        <v>3000</v>
      </c>
      <c r="S131" s="24">
        <f>(MID(D131,FIND(" ",D131)+1,FIND("*",D131)-FIND(" ",D131)-1)*MID(D131,FIND("*",D131)+1,FIND("*",MID(D131,FIND("*",D131)+1,30))-1))/1000000*IF(ROUND(RIGHT(D131,4),0)&gt;2650,1/2.65*2.95,1)</f>
        <v>11.5</v>
      </c>
    </row>
    <row r="132" spans="1:19" s="23" customFormat="1" ht="16.5" customHeight="1" x14ac:dyDescent="0.2">
      <c r="A132" s="363">
        <f>COUNTIF(L$1:L132,"!")</f>
        <v>9</v>
      </c>
      <c r="B132" s="364" t="str">
        <f>A132&amp;"."&amp;COUNTIF(A$3:A132,A132)-1</f>
        <v>9.2</v>
      </c>
      <c r="C132" s="100" t="s">
        <v>51</v>
      </c>
      <c r="D132" s="41"/>
      <c r="E132" s="101"/>
      <c r="F132" s="101"/>
      <c r="G132" s="41" t="s">
        <v>2812</v>
      </c>
      <c r="H132" s="41">
        <v>1</v>
      </c>
      <c r="I132" s="117">
        <f t="shared" si="51"/>
        <v>0.23</v>
      </c>
      <c r="J132" s="117">
        <f t="shared" si="52"/>
        <v>0.23</v>
      </c>
      <c r="K132" s="52"/>
      <c r="L132" s="53">
        <f t="shared" si="53"/>
        <v>1</v>
      </c>
      <c r="M132" s="69">
        <f t="shared" si="54"/>
        <v>2300</v>
      </c>
      <c r="N132" s="55">
        <v>1</v>
      </c>
      <c r="O132" s="56">
        <v>2300</v>
      </c>
      <c r="P132" s="57" t="str">
        <f t="shared" si="55"/>
        <v>值</v>
      </c>
    </row>
    <row r="133" spans="1:19" s="23" customFormat="1" ht="27" customHeight="1" x14ac:dyDescent="0.2">
      <c r="A133" s="363">
        <f>COUNTIF(L$1:L133,"!")</f>
        <v>9</v>
      </c>
      <c r="B133" s="364" t="str">
        <f>A133&amp;"."&amp;COUNTIF(A$3:A133,A133)-1</f>
        <v>9.3</v>
      </c>
      <c r="C133" s="103" t="s">
        <v>53</v>
      </c>
      <c r="D133" s="104"/>
      <c r="E133" s="365"/>
      <c r="F133" s="101"/>
      <c r="G133" s="104"/>
      <c r="H133" s="104" t="s">
        <v>1</v>
      </c>
      <c r="I133" s="118" t="s">
        <v>52</v>
      </c>
      <c r="J133" s="366"/>
      <c r="K133" s="104"/>
      <c r="L133" s="53"/>
      <c r="M133" s="119"/>
      <c r="N133" s="70"/>
      <c r="O133" s="337"/>
    </row>
    <row r="134" spans="1:19" s="30" customFormat="1" ht="27" customHeight="1" x14ac:dyDescent="0.2">
      <c r="A134" s="363">
        <f>COUNTIF(L$1:L134,"!")</f>
        <v>9</v>
      </c>
      <c r="B134" s="364" t="str">
        <f>A134&amp;"."&amp;COUNTIF(A$3:A134,A134)-1</f>
        <v>9.4</v>
      </c>
      <c r="C134" s="103" t="s">
        <v>54</v>
      </c>
      <c r="D134" s="104"/>
      <c r="E134" s="365"/>
      <c r="F134" s="101"/>
      <c r="G134" s="104"/>
      <c r="H134" s="104"/>
      <c r="I134" s="118" t="s">
        <v>1</v>
      </c>
      <c r="J134" s="120">
        <f>SUM(J131:J133)</f>
        <v>3.68</v>
      </c>
      <c r="K134" s="104"/>
      <c r="L134" s="53"/>
      <c r="M134" s="119"/>
      <c r="N134" s="70"/>
      <c r="O134" s="337"/>
      <c r="Q134" s="90"/>
    </row>
    <row r="135" spans="1:19" s="30" customFormat="1" ht="16.5" customHeight="1" x14ac:dyDescent="0.2">
      <c r="A135" s="83" t="s">
        <v>2857</v>
      </c>
      <c r="B135" s="94" t="s">
        <v>8</v>
      </c>
      <c r="C135" s="94" t="s">
        <v>9</v>
      </c>
      <c r="D135" s="95" t="s">
        <v>10</v>
      </c>
      <c r="E135" s="95" t="s">
        <v>11</v>
      </c>
      <c r="F135" s="96" t="s">
        <v>12</v>
      </c>
      <c r="G135" s="94" t="s">
        <v>13</v>
      </c>
      <c r="H135" s="94" t="s">
        <v>14</v>
      </c>
      <c r="I135" s="110" t="s">
        <v>15</v>
      </c>
      <c r="J135" s="111" t="s">
        <v>16</v>
      </c>
      <c r="K135" s="112" t="s">
        <v>17</v>
      </c>
      <c r="L135" s="113" t="s">
        <v>18</v>
      </c>
      <c r="M135" s="114" t="s">
        <v>19</v>
      </c>
      <c r="N135" s="114" t="s">
        <v>20</v>
      </c>
      <c r="O135" s="114" t="s">
        <v>21</v>
      </c>
      <c r="P135" s="349"/>
      <c r="Q135" s="90"/>
    </row>
    <row r="136" spans="1:19" ht="16.5" customHeight="1" x14ac:dyDescent="0.2">
      <c r="A136" s="83" t="s">
        <v>2768</v>
      </c>
      <c r="B136" s="350">
        <f>COUNTIF(L$1:L136,"#")</f>
        <v>2</v>
      </c>
      <c r="C136" s="351" t="s">
        <v>2858</v>
      </c>
      <c r="D136" s="352" t="s">
        <v>2859</v>
      </c>
      <c r="E136" s="353" t="s">
        <v>22</v>
      </c>
      <c r="F136" s="353" t="s">
        <v>3261</v>
      </c>
      <c r="G136" s="353" t="s">
        <v>23</v>
      </c>
      <c r="H136" s="353">
        <v>1</v>
      </c>
      <c r="I136" s="354">
        <f>SUMIF(Q137:Q593,B136,J137:J593)</f>
        <v>16.001379999999997</v>
      </c>
      <c r="J136" s="355">
        <f>IFERROR(I136*H136,"")</f>
        <v>16.001379999999997</v>
      </c>
      <c r="K136" s="356" t="s">
        <v>2860</v>
      </c>
      <c r="L136" s="357" t="s">
        <v>2772</v>
      </c>
      <c r="M136" s="358"/>
      <c r="N136" s="358"/>
      <c r="O136" s="358"/>
      <c r="P136" s="359"/>
      <c r="Q136" s="360"/>
      <c r="R136" s="30"/>
    </row>
    <row r="137" spans="1:19" ht="16.5" customHeight="1" x14ac:dyDescent="0.15">
      <c r="A137" s="97">
        <f>COUNTIF(L$1:L137,"!")</f>
        <v>10</v>
      </c>
      <c r="B137" s="32" t="str">
        <f>COUNTIF(L$2:L138,"!")&amp;"."</f>
        <v>10.</v>
      </c>
      <c r="C137" s="47" t="s">
        <v>2773</v>
      </c>
      <c r="D137" s="35" t="s">
        <v>2861</v>
      </c>
      <c r="E137" s="99" t="s">
        <v>22</v>
      </c>
      <c r="F137" s="99" t="s">
        <v>3261</v>
      </c>
      <c r="G137" s="34" t="s">
        <v>23</v>
      </c>
      <c r="H137" s="98">
        <v>1</v>
      </c>
      <c r="I137" s="115">
        <f>LOOKUP(0,0/((A137:A219=A137)*(C137:C219="合计金额（单位完整货物单价）")),J137:J219)</f>
        <v>2.7988999999999997</v>
      </c>
      <c r="J137" s="116">
        <f>IFERROR(I137*H137,"")</f>
        <v>2.7988999999999997</v>
      </c>
      <c r="K137" s="34"/>
      <c r="L137" s="48" t="s">
        <v>24</v>
      </c>
      <c r="M137" s="49"/>
      <c r="N137" s="50"/>
      <c r="O137" s="362"/>
      <c r="P137" s="23"/>
      <c r="Q137" s="360">
        <f>COUNTIF(L$3:L137,"#")</f>
        <v>2</v>
      </c>
      <c r="R137" s="23"/>
    </row>
    <row r="138" spans="1:19" ht="16.5" customHeight="1" x14ac:dyDescent="0.2">
      <c r="A138" s="363">
        <f>COUNTIF(L$1:L138,"!")</f>
        <v>10</v>
      </c>
      <c r="B138" s="364" t="str">
        <f>A138&amp;"."&amp;COUNTIF(A$3:A138,A138)-1</f>
        <v>10.1</v>
      </c>
      <c r="C138" s="100" t="s">
        <v>2775</v>
      </c>
      <c r="D138" s="41" t="s">
        <v>2862</v>
      </c>
      <c r="E138" s="101" t="s">
        <v>22</v>
      </c>
      <c r="F138" s="101" t="s">
        <v>2863</v>
      </c>
      <c r="G138" s="41" t="s">
        <v>23</v>
      </c>
      <c r="H138" s="41">
        <v>2</v>
      </c>
      <c r="I138" s="117">
        <f>IFERROR(ROUND(L138*M138/10000,4),"")</f>
        <v>0.54379999999999995</v>
      </c>
      <c r="J138" s="117">
        <f t="shared" ref="J138:J148" si="56">IFERROR(I138*H138,"")</f>
        <v>1.0875999999999999</v>
      </c>
      <c r="K138" s="52"/>
      <c r="L138" s="53">
        <f t="shared" ref="L138:L148" si="57">L$2</f>
        <v>1</v>
      </c>
      <c r="M138" s="69">
        <f t="shared" ref="M138:M148" si="58">IFERROR(O138*N138,"")</f>
        <v>5438</v>
      </c>
      <c r="N138" s="55">
        <v>1</v>
      </c>
      <c r="O138" s="337">
        <v>5438</v>
      </c>
      <c r="P138" s="57" t="str">
        <f t="shared" ref="P138:P148" si="59">IF(_xlfn.ISFORMULA(O138),"","值")</f>
        <v>值</v>
      </c>
      <c r="Q138" s="90"/>
      <c r="R138" s="23"/>
    </row>
    <row r="139" spans="1:19" ht="16.5" customHeight="1" x14ac:dyDescent="0.2">
      <c r="A139" s="363">
        <f>COUNTIF(L$1:L139,"!")</f>
        <v>10</v>
      </c>
      <c r="B139" s="364" t="str">
        <f>A139&amp;"."&amp;COUNTIF(A$3:A139,A139)-1</f>
        <v>10.2</v>
      </c>
      <c r="C139" s="100" t="s">
        <v>2775</v>
      </c>
      <c r="D139" s="41" t="s">
        <v>2864</v>
      </c>
      <c r="E139" s="101" t="s">
        <v>22</v>
      </c>
      <c r="F139" s="101" t="s">
        <v>2863</v>
      </c>
      <c r="G139" s="41" t="s">
        <v>23</v>
      </c>
      <c r="H139" s="41">
        <v>1</v>
      </c>
      <c r="I139" s="117">
        <f t="shared" ref="I139:I148" si="60">IFERROR(ROUND(L139*M139/10000,4),"")</f>
        <v>0.82499999999999996</v>
      </c>
      <c r="J139" s="117">
        <f t="shared" si="56"/>
        <v>0.82499999999999996</v>
      </c>
      <c r="K139" s="52"/>
      <c r="L139" s="53">
        <f t="shared" si="57"/>
        <v>1</v>
      </c>
      <c r="M139" s="69">
        <f t="shared" si="58"/>
        <v>8250</v>
      </c>
      <c r="N139" s="55">
        <v>1</v>
      </c>
      <c r="O139" s="337">
        <v>8250</v>
      </c>
      <c r="P139" s="57" t="str">
        <f t="shared" si="59"/>
        <v>值</v>
      </c>
      <c r="Q139" s="90"/>
      <c r="R139" s="23"/>
    </row>
    <row r="140" spans="1:19" ht="16.5" customHeight="1" x14ac:dyDescent="0.2">
      <c r="A140" s="363">
        <f>COUNTIF(L$1:L140,"!")</f>
        <v>10</v>
      </c>
      <c r="B140" s="364" t="str">
        <f>A140&amp;"."&amp;COUNTIF(A$3:A140,A140)-1</f>
        <v>10.3</v>
      </c>
      <c r="C140" s="100" t="s">
        <v>61</v>
      </c>
      <c r="D140" s="41" t="s">
        <v>2781</v>
      </c>
      <c r="E140" s="101" t="s">
        <v>2782</v>
      </c>
      <c r="F140" s="101" t="s">
        <v>2865</v>
      </c>
      <c r="G140" s="41" t="s">
        <v>29</v>
      </c>
      <c r="H140" s="41">
        <v>9</v>
      </c>
      <c r="I140" s="117">
        <f t="shared" si="60"/>
        <v>0.03</v>
      </c>
      <c r="J140" s="117">
        <f t="shared" si="56"/>
        <v>0.27</v>
      </c>
      <c r="K140" s="52"/>
      <c r="L140" s="53">
        <f t="shared" si="57"/>
        <v>1</v>
      </c>
      <c r="M140" s="69">
        <f t="shared" si="58"/>
        <v>300</v>
      </c>
      <c r="N140" s="55">
        <v>1</v>
      </c>
      <c r="O140" s="337">
        <v>300</v>
      </c>
      <c r="P140" s="57" t="str">
        <f t="shared" si="59"/>
        <v>值</v>
      </c>
      <c r="Q140" s="23"/>
      <c r="R140" s="23"/>
    </row>
    <row r="141" spans="1:19" ht="16.5" customHeight="1" x14ac:dyDescent="0.2">
      <c r="A141" s="363">
        <f>COUNTIF(L$1:L141,"!")</f>
        <v>10</v>
      </c>
      <c r="B141" s="364" t="str">
        <f>A141&amp;"."&amp;COUNTIF(A$3:A141,A141)-1</f>
        <v>10.4</v>
      </c>
      <c r="C141" s="100" t="s">
        <v>160</v>
      </c>
      <c r="D141" s="41" t="s">
        <v>161</v>
      </c>
      <c r="E141" s="101" t="s">
        <v>2792</v>
      </c>
      <c r="F141" s="101" t="s">
        <v>2866</v>
      </c>
      <c r="G141" s="41" t="s">
        <v>48</v>
      </c>
      <c r="H141" s="41">
        <v>3</v>
      </c>
      <c r="I141" s="117">
        <f t="shared" si="60"/>
        <v>1.4999999999999999E-2</v>
      </c>
      <c r="J141" s="117">
        <f t="shared" si="56"/>
        <v>4.4999999999999998E-2</v>
      </c>
      <c r="K141" s="52"/>
      <c r="L141" s="53">
        <f t="shared" si="57"/>
        <v>1</v>
      </c>
      <c r="M141" s="69">
        <f t="shared" si="58"/>
        <v>150</v>
      </c>
      <c r="N141" s="55">
        <v>1</v>
      </c>
      <c r="O141" s="337">
        <v>150</v>
      </c>
      <c r="P141" s="57" t="str">
        <f t="shared" si="59"/>
        <v>值</v>
      </c>
      <c r="Q141" s="23"/>
      <c r="R141" s="23"/>
    </row>
    <row r="142" spans="1:19" ht="16.5" customHeight="1" x14ac:dyDescent="0.2">
      <c r="A142" s="363">
        <f>COUNTIF(L$1:L142,"!")</f>
        <v>10</v>
      </c>
      <c r="B142" s="364" t="str">
        <f>A142&amp;"."&amp;COUNTIF(A$3:A142,A142)-1</f>
        <v>10.5</v>
      </c>
      <c r="C142" s="100" t="s">
        <v>2787</v>
      </c>
      <c r="D142" s="41" t="s">
        <v>2788</v>
      </c>
      <c r="E142" s="101" t="s">
        <v>2792</v>
      </c>
      <c r="F142" s="101" t="s">
        <v>2867</v>
      </c>
      <c r="G142" s="41" t="s">
        <v>134</v>
      </c>
      <c r="H142" s="41">
        <v>3</v>
      </c>
      <c r="I142" s="117">
        <f t="shared" si="60"/>
        <v>0.05</v>
      </c>
      <c r="J142" s="117">
        <f t="shared" si="56"/>
        <v>0.15000000000000002</v>
      </c>
      <c r="K142" s="52"/>
      <c r="L142" s="53">
        <f t="shared" si="57"/>
        <v>1</v>
      </c>
      <c r="M142" s="69">
        <f t="shared" si="58"/>
        <v>500</v>
      </c>
      <c r="N142" s="55">
        <v>1</v>
      </c>
      <c r="O142" s="337">
        <v>500</v>
      </c>
      <c r="P142" s="57" t="str">
        <f t="shared" si="59"/>
        <v>值</v>
      </c>
      <c r="Q142" s="23"/>
      <c r="R142" s="23"/>
    </row>
    <row r="143" spans="1:19" ht="16.5" customHeight="1" x14ac:dyDescent="0.2">
      <c r="A143" s="363">
        <f>COUNTIF(L$1:L143,"!")</f>
        <v>10</v>
      </c>
      <c r="B143" s="364" t="str">
        <f>A143&amp;"."&amp;COUNTIF(A$3:A143,A143)-1</f>
        <v>10.6</v>
      </c>
      <c r="C143" s="100" t="s">
        <v>162</v>
      </c>
      <c r="D143" s="41" t="s">
        <v>2791</v>
      </c>
      <c r="E143" s="101" t="s">
        <v>2792</v>
      </c>
      <c r="F143" s="101" t="s">
        <v>2867</v>
      </c>
      <c r="G143" s="41" t="s">
        <v>134</v>
      </c>
      <c r="H143" s="41">
        <v>3</v>
      </c>
      <c r="I143" s="117">
        <f t="shared" si="60"/>
        <v>7.7499999999999999E-2</v>
      </c>
      <c r="J143" s="117">
        <f t="shared" si="56"/>
        <v>0.23249999999999998</v>
      </c>
      <c r="K143" s="52"/>
      <c r="L143" s="53">
        <f t="shared" si="57"/>
        <v>1</v>
      </c>
      <c r="M143" s="69">
        <f t="shared" si="58"/>
        <v>775</v>
      </c>
      <c r="N143" s="55">
        <v>1</v>
      </c>
      <c r="O143" s="337">
        <v>775</v>
      </c>
      <c r="P143" s="57" t="str">
        <f t="shared" si="59"/>
        <v>值</v>
      </c>
      <c r="Q143" s="23"/>
      <c r="R143" s="23"/>
    </row>
    <row r="144" spans="1:19" ht="16.5" customHeight="1" x14ac:dyDescent="0.2">
      <c r="A144" s="363">
        <f>COUNTIF(L$1:L144,"!")</f>
        <v>10</v>
      </c>
      <c r="B144" s="364" t="str">
        <f>A144&amp;"."&amp;COUNTIF(A$3:A144,A144)-1</f>
        <v>10.7</v>
      </c>
      <c r="C144" s="100" t="s">
        <v>2793</v>
      </c>
      <c r="D144" s="102" t="s">
        <v>2794</v>
      </c>
      <c r="E144" s="101" t="s">
        <v>2868</v>
      </c>
      <c r="F144" s="101" t="s">
        <v>2867</v>
      </c>
      <c r="G144" s="41" t="s">
        <v>134</v>
      </c>
      <c r="H144" s="41">
        <v>3</v>
      </c>
      <c r="I144" s="117">
        <f t="shared" si="60"/>
        <v>2.5000000000000001E-2</v>
      </c>
      <c r="J144" s="117">
        <f t="shared" si="56"/>
        <v>7.5000000000000011E-2</v>
      </c>
      <c r="K144" s="52"/>
      <c r="L144" s="53">
        <f t="shared" si="57"/>
        <v>1</v>
      </c>
      <c r="M144" s="69">
        <f t="shared" si="58"/>
        <v>250</v>
      </c>
      <c r="N144" s="55">
        <v>1</v>
      </c>
      <c r="O144" s="337">
        <v>250</v>
      </c>
      <c r="P144" s="57" t="str">
        <f t="shared" si="59"/>
        <v>值</v>
      </c>
      <c r="Q144" s="23"/>
      <c r="R144" s="23"/>
    </row>
    <row r="145" spans="1:18" ht="16.5" customHeight="1" x14ac:dyDescent="0.2">
      <c r="A145" s="363">
        <f>COUNTIF(L$1:L145,"!")</f>
        <v>10</v>
      </c>
      <c r="B145" s="364" t="str">
        <f>A145&amp;"."&amp;COUNTIF(A$3:A145,A145)-1</f>
        <v>10.8</v>
      </c>
      <c r="C145" s="100" t="s">
        <v>2802</v>
      </c>
      <c r="D145" s="41" t="s">
        <v>2803</v>
      </c>
      <c r="E145" s="101" t="s">
        <v>2792</v>
      </c>
      <c r="F145" s="101" t="s">
        <v>2869</v>
      </c>
      <c r="G145" s="41" t="s">
        <v>48</v>
      </c>
      <c r="H145" s="41">
        <v>3</v>
      </c>
      <c r="I145" s="117">
        <f t="shared" si="60"/>
        <v>1.2500000000000001E-2</v>
      </c>
      <c r="J145" s="117">
        <f t="shared" si="56"/>
        <v>3.7500000000000006E-2</v>
      </c>
      <c r="K145" s="52"/>
      <c r="L145" s="53">
        <f t="shared" si="57"/>
        <v>1</v>
      </c>
      <c r="M145" s="69">
        <f t="shared" si="58"/>
        <v>125</v>
      </c>
      <c r="N145" s="55">
        <v>1</v>
      </c>
      <c r="O145" s="337">
        <v>125</v>
      </c>
      <c r="P145" s="57" t="str">
        <f t="shared" si="59"/>
        <v>值</v>
      </c>
      <c r="Q145" s="23"/>
      <c r="R145" s="23"/>
    </row>
    <row r="146" spans="1:18" ht="16.5" customHeight="1" x14ac:dyDescent="0.2">
      <c r="A146" s="363">
        <f>COUNTIF(L$1:L146,"!")</f>
        <v>10</v>
      </c>
      <c r="B146" s="364" t="str">
        <f>A146&amp;"."&amp;COUNTIF(A$3:A146,A146)-1</f>
        <v>10.9</v>
      </c>
      <c r="C146" s="100" t="s">
        <v>2799</v>
      </c>
      <c r="D146" s="41"/>
      <c r="E146" s="101" t="s">
        <v>2800</v>
      </c>
      <c r="F146" s="101" t="s">
        <v>2870</v>
      </c>
      <c r="G146" s="41" t="s">
        <v>29</v>
      </c>
      <c r="H146" s="41">
        <v>1</v>
      </c>
      <c r="I146" s="117">
        <f t="shared" si="60"/>
        <v>0.06</v>
      </c>
      <c r="J146" s="117">
        <f t="shared" si="56"/>
        <v>0.06</v>
      </c>
      <c r="K146" s="52"/>
      <c r="L146" s="53">
        <f t="shared" si="57"/>
        <v>1</v>
      </c>
      <c r="M146" s="69">
        <f t="shared" si="58"/>
        <v>600</v>
      </c>
      <c r="N146" s="55">
        <v>1</v>
      </c>
      <c r="O146" s="337">
        <v>600</v>
      </c>
      <c r="P146" s="57" t="str">
        <f t="shared" si="59"/>
        <v>值</v>
      </c>
      <c r="Q146" s="23"/>
      <c r="R146" s="23"/>
    </row>
    <row r="147" spans="1:18" ht="16.5" customHeight="1" x14ac:dyDescent="0.2">
      <c r="A147" s="363">
        <f>COUNTIF(L$1:L147,"!")</f>
        <v>10</v>
      </c>
      <c r="B147" s="364" t="str">
        <f>A147&amp;"."&amp;COUNTIF(A$3:A147,A147)-1</f>
        <v>10.10</v>
      </c>
      <c r="C147" s="100" t="s">
        <v>97</v>
      </c>
      <c r="D147" s="102"/>
      <c r="E147" s="101" t="s">
        <v>2792</v>
      </c>
      <c r="F147" s="101" t="s">
        <v>2869</v>
      </c>
      <c r="G147" s="41" t="s">
        <v>2806</v>
      </c>
      <c r="H147" s="41">
        <v>1</v>
      </c>
      <c r="I147" s="117">
        <f t="shared" si="60"/>
        <v>6.3E-3</v>
      </c>
      <c r="J147" s="117">
        <f t="shared" si="56"/>
        <v>6.3E-3</v>
      </c>
      <c r="K147" s="52"/>
      <c r="L147" s="53">
        <f t="shared" si="57"/>
        <v>1</v>
      </c>
      <c r="M147" s="69">
        <f t="shared" si="58"/>
        <v>63</v>
      </c>
      <c r="N147" s="55">
        <v>1</v>
      </c>
      <c r="O147" s="337">
        <v>63</v>
      </c>
      <c r="P147" s="57" t="str">
        <f t="shared" si="59"/>
        <v>值</v>
      </c>
      <c r="Q147" s="23"/>
      <c r="R147" s="23"/>
    </row>
    <row r="148" spans="1:18" ht="16.5" customHeight="1" x14ac:dyDescent="0.2">
      <c r="A148" s="363">
        <f>COUNTIF(L$1:L148,"!")</f>
        <v>10</v>
      </c>
      <c r="B148" s="364" t="str">
        <f>A148&amp;"."&amp;COUNTIF(A$3:A148,A148)-1</f>
        <v>10.11</v>
      </c>
      <c r="C148" s="100" t="s">
        <v>51</v>
      </c>
      <c r="D148" s="41"/>
      <c r="E148" s="101"/>
      <c r="F148" s="101"/>
      <c r="G148" s="41" t="s">
        <v>2871</v>
      </c>
      <c r="H148" s="41">
        <v>1</v>
      </c>
      <c r="I148" s="117">
        <f t="shared" si="60"/>
        <v>0.01</v>
      </c>
      <c r="J148" s="117">
        <f t="shared" si="56"/>
        <v>0.01</v>
      </c>
      <c r="K148" s="52"/>
      <c r="L148" s="53">
        <f t="shared" si="57"/>
        <v>1</v>
      </c>
      <c r="M148" s="69">
        <f t="shared" si="58"/>
        <v>100</v>
      </c>
      <c r="N148" s="55">
        <v>1</v>
      </c>
      <c r="O148" s="337">
        <v>100</v>
      </c>
      <c r="P148" s="57" t="str">
        <f t="shared" si="59"/>
        <v>值</v>
      </c>
      <c r="Q148" s="23"/>
      <c r="R148" s="23"/>
    </row>
    <row r="149" spans="1:18" ht="27" customHeight="1" x14ac:dyDescent="0.2">
      <c r="A149" s="363">
        <f>COUNTIF(L$1:L149,"!")</f>
        <v>10</v>
      </c>
      <c r="B149" s="364" t="str">
        <f>A149&amp;"."&amp;COUNTIF(A$3:A149,A149)-1</f>
        <v>10.12</v>
      </c>
      <c r="C149" s="103" t="s">
        <v>53</v>
      </c>
      <c r="D149" s="104"/>
      <c r="E149" s="365"/>
      <c r="F149" s="101"/>
      <c r="G149" s="104"/>
      <c r="H149" s="104" t="s">
        <v>1</v>
      </c>
      <c r="I149" s="118" t="s">
        <v>52</v>
      </c>
      <c r="J149" s="366"/>
      <c r="K149" s="104"/>
      <c r="L149" s="53"/>
      <c r="M149" s="119"/>
      <c r="N149" s="70"/>
      <c r="O149" s="337"/>
      <c r="P149" s="23"/>
      <c r="Q149" s="23"/>
      <c r="R149" s="23"/>
    </row>
    <row r="150" spans="1:18" ht="27" customHeight="1" x14ac:dyDescent="0.2">
      <c r="A150" s="363">
        <f>COUNTIF(L$1:L150,"!")</f>
        <v>10</v>
      </c>
      <c r="B150" s="364" t="str">
        <f>A150&amp;"."&amp;COUNTIF(A$3:A150,A150)-1</f>
        <v>10.13</v>
      </c>
      <c r="C150" s="103" t="s">
        <v>54</v>
      </c>
      <c r="D150" s="104"/>
      <c r="E150" s="365"/>
      <c r="F150" s="101"/>
      <c r="G150" s="104"/>
      <c r="H150" s="104"/>
      <c r="I150" s="118" t="s">
        <v>1</v>
      </c>
      <c r="J150" s="120">
        <f>SUM(J138:J149)</f>
        <v>2.7988999999999997</v>
      </c>
      <c r="K150" s="104"/>
      <c r="L150" s="53"/>
      <c r="M150" s="119"/>
      <c r="N150" s="70"/>
      <c r="O150" s="337"/>
      <c r="P150" s="30"/>
      <c r="Q150" s="90"/>
      <c r="R150" s="30"/>
    </row>
    <row r="151" spans="1:18" ht="16.5" customHeight="1" x14ac:dyDescent="0.15">
      <c r="A151" s="97">
        <f>COUNTIF(L$1:L151,"!")</f>
        <v>11</v>
      </c>
      <c r="B151" s="32" t="str">
        <f>COUNTIF(L$2:L152,"!")&amp;"."</f>
        <v>11.</v>
      </c>
      <c r="C151" s="47" t="str">
        <f>C152</f>
        <v>变压器</v>
      </c>
      <c r="D151" s="35" t="str">
        <f>D152</f>
        <v>S13-M-630KVA 全铜</v>
      </c>
      <c r="E151" s="99" t="str">
        <f>E152</f>
        <v>浙江</v>
      </c>
      <c r="F151" s="99" t="str">
        <f>F152</f>
        <v>弘乐电气有限公司</v>
      </c>
      <c r="G151" s="34" t="s">
        <v>23</v>
      </c>
      <c r="H151" s="98">
        <v>1</v>
      </c>
      <c r="I151" s="115">
        <f>LOOKUP(0,0/((A151:A231=A151)*(C151:C231="合计金额（单位完整货物单价）")),J151:J231)</f>
        <v>5.7149999999999999</v>
      </c>
      <c r="J151" s="116">
        <f>IFERROR(I151*H151,"")</f>
        <v>5.7149999999999999</v>
      </c>
      <c r="K151" s="34"/>
      <c r="L151" s="48" t="s">
        <v>24</v>
      </c>
      <c r="M151" s="49"/>
      <c r="N151" s="50"/>
      <c r="O151" s="362"/>
      <c r="P151" s="23"/>
      <c r="Q151" s="360">
        <f>COUNTIF(L$3:L151,"#")</f>
        <v>2</v>
      </c>
      <c r="R151" s="23"/>
    </row>
    <row r="152" spans="1:18" ht="16.5" customHeight="1" x14ac:dyDescent="0.2">
      <c r="A152" s="363">
        <f>COUNTIF(L$1:L152,"!")</f>
        <v>11</v>
      </c>
      <c r="B152" s="364" t="str">
        <f>A152&amp;"."&amp;COUNTIF(A$3:A152,A152)-1</f>
        <v>11.1</v>
      </c>
      <c r="C152" s="100" t="str">
        <f>IFERROR(VLOOKUP(D152,元件库!$B:$O,3,FALSE),"")</f>
        <v>变压器</v>
      </c>
      <c r="D152" s="41" t="s">
        <v>2872</v>
      </c>
      <c r="E152" s="101" t="s">
        <v>22</v>
      </c>
      <c r="F152" s="101" t="s">
        <v>2814</v>
      </c>
      <c r="G152" s="41" t="s">
        <v>23</v>
      </c>
      <c r="H152" s="41">
        <v>1</v>
      </c>
      <c r="I152" s="117">
        <f>IFERROR(ROUND(L152*M152/10000,4),"")</f>
        <v>5.64</v>
      </c>
      <c r="J152" s="117">
        <f t="shared" ref="J152:J153" si="61">IFERROR(I152*H152,"")</f>
        <v>5.64</v>
      </c>
      <c r="K152" s="52"/>
      <c r="L152" s="53">
        <f t="shared" ref="L152:L153" si="62">L$2</f>
        <v>1</v>
      </c>
      <c r="M152" s="69">
        <f t="shared" ref="M152:M153" si="63">IFERROR(O152*N152,"")</f>
        <v>56400</v>
      </c>
      <c r="N152" s="55">
        <f>IFERROR(VLOOKUP(D152,元件库!$B:$O,10,FALSE),"1.00")</f>
        <v>1</v>
      </c>
      <c r="O152" s="337">
        <f>IFERROR(VLOOKUP(D152,元件库!$B:$O,11,FALSE),"")</f>
        <v>56400</v>
      </c>
      <c r="P152" s="57" t="str">
        <f t="shared" ref="P152:P153" si="64">IF(_xlfn.ISFORMULA(O152),"","值")</f>
        <v/>
      </c>
      <c r="Q152" s="90"/>
      <c r="R152" s="23"/>
    </row>
    <row r="153" spans="1:18" ht="16.5" customHeight="1" x14ac:dyDescent="0.2">
      <c r="A153" s="363">
        <f>COUNTIF(L$1:L153,"!")</f>
        <v>11</v>
      </c>
      <c r="B153" s="364" t="str">
        <f>A153&amp;"."&amp;COUNTIF(A$3:A153,A153)-1</f>
        <v>11.2</v>
      </c>
      <c r="C153" s="100" t="s">
        <v>51</v>
      </c>
      <c r="D153" s="41"/>
      <c r="E153" s="101"/>
      <c r="F153" s="101"/>
      <c r="G153" s="41" t="s">
        <v>2873</v>
      </c>
      <c r="H153" s="41">
        <v>1</v>
      </c>
      <c r="I153" s="117">
        <f t="shared" ref="I153" si="65">IFERROR(ROUND(L153*M153/10000,4),"")</f>
        <v>7.4999999999999997E-2</v>
      </c>
      <c r="J153" s="117">
        <f t="shared" si="61"/>
        <v>7.4999999999999997E-2</v>
      </c>
      <c r="K153" s="52"/>
      <c r="L153" s="53">
        <f t="shared" si="62"/>
        <v>1</v>
      </c>
      <c r="M153" s="69">
        <f t="shared" si="63"/>
        <v>750</v>
      </c>
      <c r="N153" s="55">
        <v>1</v>
      </c>
      <c r="O153" s="337">
        <v>750</v>
      </c>
      <c r="P153" s="57" t="str">
        <f t="shared" si="64"/>
        <v>值</v>
      </c>
      <c r="Q153" s="23"/>
      <c r="R153" s="23"/>
    </row>
    <row r="154" spans="1:18" ht="27" customHeight="1" x14ac:dyDescent="0.2">
      <c r="A154" s="363">
        <f>COUNTIF(L$1:L154,"!")</f>
        <v>11</v>
      </c>
      <c r="B154" s="364" t="str">
        <f>A154&amp;"."&amp;COUNTIF(A$3:A154,A154)-1</f>
        <v>11.3</v>
      </c>
      <c r="C154" s="103" t="s">
        <v>53</v>
      </c>
      <c r="D154" s="104"/>
      <c r="E154" s="365"/>
      <c r="F154" s="101"/>
      <c r="G154" s="104"/>
      <c r="H154" s="104" t="s">
        <v>1</v>
      </c>
      <c r="I154" s="118" t="s">
        <v>52</v>
      </c>
      <c r="J154" s="366"/>
      <c r="K154" s="104"/>
      <c r="L154" s="53"/>
      <c r="M154" s="119"/>
      <c r="N154" s="70"/>
      <c r="O154" s="337"/>
      <c r="P154" s="23"/>
      <c r="Q154" s="23"/>
      <c r="R154" s="23"/>
    </row>
    <row r="155" spans="1:18" ht="27" customHeight="1" x14ac:dyDescent="0.2">
      <c r="A155" s="363">
        <f>COUNTIF(L$1:L155,"!")</f>
        <v>11</v>
      </c>
      <c r="B155" s="364" t="str">
        <f>A155&amp;"."&amp;COUNTIF(A$3:A155,A155)-1</f>
        <v>11.4</v>
      </c>
      <c r="C155" s="103" t="s">
        <v>54</v>
      </c>
      <c r="D155" s="104"/>
      <c r="E155" s="365"/>
      <c r="F155" s="101"/>
      <c r="G155" s="104"/>
      <c r="H155" s="104"/>
      <c r="I155" s="118" t="s">
        <v>1</v>
      </c>
      <c r="J155" s="120">
        <f>SUM(J152:J154)</f>
        <v>5.7149999999999999</v>
      </c>
      <c r="K155" s="104"/>
      <c r="L155" s="53"/>
      <c r="M155" s="119"/>
      <c r="N155" s="70"/>
      <c r="O155" s="337"/>
      <c r="P155" s="30"/>
      <c r="Q155" s="90"/>
      <c r="R155" s="30"/>
    </row>
    <row r="156" spans="1:18" ht="16.5" customHeight="1" x14ac:dyDescent="0.15">
      <c r="A156" s="97">
        <f>COUNTIF(L$1:L156,"!")</f>
        <v>12</v>
      </c>
      <c r="B156" s="32" t="str">
        <f>COUNTIF(L$2:L157,"!")&amp;"."</f>
        <v>12.</v>
      </c>
      <c r="C156" s="47" t="s">
        <v>2874</v>
      </c>
      <c r="D156" s="35"/>
      <c r="E156" s="367" t="s">
        <v>37</v>
      </c>
      <c r="F156" s="367" t="s">
        <v>38</v>
      </c>
      <c r="G156" s="34" t="s">
        <v>23</v>
      </c>
      <c r="H156" s="98">
        <v>1</v>
      </c>
      <c r="I156" s="115">
        <f>LOOKUP(0,0/((A156:A236=A156)*(C156:C236="合计金额（单位完整货物单价）")),J156:J236)</f>
        <v>0.55599999999999994</v>
      </c>
      <c r="J156" s="116">
        <f>IFERROR(I156*H156,"")</f>
        <v>0.55599999999999994</v>
      </c>
      <c r="K156" s="34"/>
      <c r="L156" s="48" t="s">
        <v>24</v>
      </c>
      <c r="M156" s="49"/>
      <c r="N156" s="50"/>
      <c r="O156" s="362"/>
      <c r="P156" s="23"/>
      <c r="Q156" s="360">
        <f>COUNTIF(L$3:L156,"#")</f>
        <v>2</v>
      </c>
      <c r="R156" s="23"/>
    </row>
    <row r="157" spans="1:18" s="23" customFormat="1" ht="16.5" customHeight="1" x14ac:dyDescent="0.2">
      <c r="A157" s="363">
        <f>COUNTIF(L$1:L157,"!")</f>
        <v>12</v>
      </c>
      <c r="B157" s="364" t="str">
        <f>A157&amp;"."&amp;COUNTIF(A$3:A157,A157)-1</f>
        <v>12.1</v>
      </c>
      <c r="C157" s="100" t="str">
        <f>IFERROR(VLOOKUP(D157,元件库!$B:$O,3,FALSE),"")</f>
        <v>铜排</v>
      </c>
      <c r="D157" s="41" t="s">
        <v>2875</v>
      </c>
      <c r="E157" s="101" t="s">
        <v>2876</v>
      </c>
      <c r="F157" s="101" t="s">
        <v>2877</v>
      </c>
      <c r="G157" s="41" t="s">
        <v>39</v>
      </c>
      <c r="H157" s="41">
        <v>10</v>
      </c>
      <c r="I157" s="117">
        <f>IFERROR(ROUND(L157*M157/10000,4),"")</f>
        <v>4.0599999999999997E-2</v>
      </c>
      <c r="J157" s="117">
        <f>IFERROR(I157*H157,"")</f>
        <v>0.40599999999999997</v>
      </c>
      <c r="K157" s="52"/>
      <c r="L157" s="53">
        <f t="shared" ref="L157:L159" si="66">L$2</f>
        <v>1</v>
      </c>
      <c r="M157" s="69">
        <f>IFERROR(O157*N157,"")</f>
        <v>405.84</v>
      </c>
      <c r="N157" s="55">
        <f>IFERROR(VLOOKUP(D157,元件库!$B:$O,10,FALSE),"1.00")</f>
        <v>1</v>
      </c>
      <c r="O157" s="337">
        <f>IFERROR(VLOOKUP(D157,元件库!$B:$O,11,FALSE),"")</f>
        <v>405.84</v>
      </c>
      <c r="P157" s="57" t="str">
        <f>IF(_xlfn.ISFORMULA(O157),"","值")</f>
        <v/>
      </c>
    </row>
    <row r="158" spans="1:18" s="23" customFormat="1" ht="16.5" customHeight="1" x14ac:dyDescent="0.2">
      <c r="A158" s="363">
        <f>COUNTIF(L$1:L158,"!")</f>
        <v>12</v>
      </c>
      <c r="B158" s="364" t="str">
        <f>A158&amp;"."&amp;COUNTIF(A$3:A158,A158)-1</f>
        <v>12.2</v>
      </c>
      <c r="C158" s="100" t="s">
        <v>2819</v>
      </c>
      <c r="D158" s="41" t="s">
        <v>2878</v>
      </c>
      <c r="E158" s="101" t="s">
        <v>2879</v>
      </c>
      <c r="F158" s="101" t="s">
        <v>2880</v>
      </c>
      <c r="G158" s="41" t="s">
        <v>2881</v>
      </c>
      <c r="H158" s="41">
        <v>1</v>
      </c>
      <c r="I158" s="117">
        <f>IFERROR(ROUND(L158*M158/10000,4),"")</f>
        <v>0.15</v>
      </c>
      <c r="J158" s="117">
        <f>IFERROR(I158*H158,"")</f>
        <v>0.15</v>
      </c>
      <c r="K158" s="52"/>
      <c r="L158" s="53">
        <f t="shared" si="66"/>
        <v>1</v>
      </c>
      <c r="M158" s="69">
        <f>IFERROR(O158*N158,"")</f>
        <v>1500</v>
      </c>
      <c r="N158" s="55" t="str">
        <f>IFERROR(VLOOKUP(D158,元件库!$B:$O,10,FALSE),"1.00")</f>
        <v>1.00</v>
      </c>
      <c r="O158" s="337">
        <v>1500</v>
      </c>
      <c r="P158" s="57" t="str">
        <f>IF(_xlfn.ISFORMULA(O158),"","值")</f>
        <v>值</v>
      </c>
    </row>
    <row r="159" spans="1:18" ht="16.5" customHeight="1" x14ac:dyDescent="0.2">
      <c r="A159" s="363">
        <f>COUNTIF(L$1:L159,"!")</f>
        <v>12</v>
      </c>
      <c r="B159" s="364" t="str">
        <f>A159&amp;"."&amp;COUNTIF(A$3:A159,A159)-1</f>
        <v>12.3</v>
      </c>
      <c r="C159" s="100" t="s">
        <v>51</v>
      </c>
      <c r="D159" s="41"/>
      <c r="E159" s="101"/>
      <c r="F159" s="101"/>
      <c r="G159" s="41"/>
      <c r="H159" s="41"/>
      <c r="I159" s="118" t="s">
        <v>52</v>
      </c>
      <c r="J159" s="117" t="str">
        <f t="shared" ref="J159" si="67">IFERROR(I159*H159,"")</f>
        <v/>
      </c>
      <c r="K159" s="52"/>
      <c r="L159" s="53">
        <f t="shared" si="66"/>
        <v>1</v>
      </c>
      <c r="M159" s="69">
        <f t="shared" ref="M159" si="68">IFERROR(O159*N159,"")</f>
        <v>750</v>
      </c>
      <c r="N159" s="55">
        <v>1</v>
      </c>
      <c r="O159" s="337">
        <v>750</v>
      </c>
      <c r="P159" s="57" t="str">
        <f t="shared" ref="P159" si="69">IF(_xlfn.ISFORMULA(O159),"","值")</f>
        <v>值</v>
      </c>
      <c r="Q159" s="23"/>
      <c r="R159" s="23"/>
    </row>
    <row r="160" spans="1:18" ht="27" customHeight="1" x14ac:dyDescent="0.2">
      <c r="A160" s="363">
        <f>COUNTIF(L$1:L160,"!")</f>
        <v>12</v>
      </c>
      <c r="B160" s="364" t="str">
        <f>A160&amp;"."&amp;COUNTIF(A$3:A160,A160)-1</f>
        <v>12.4</v>
      </c>
      <c r="C160" s="103" t="s">
        <v>53</v>
      </c>
      <c r="D160" s="104"/>
      <c r="E160" s="365"/>
      <c r="F160" s="101"/>
      <c r="G160" s="104"/>
      <c r="H160" s="104" t="s">
        <v>1</v>
      </c>
      <c r="I160" s="118" t="s">
        <v>52</v>
      </c>
      <c r="J160" s="366"/>
      <c r="K160" s="104"/>
      <c r="L160" s="53"/>
      <c r="M160" s="119"/>
      <c r="N160" s="70"/>
      <c r="O160" s="337"/>
      <c r="P160" s="23"/>
      <c r="Q160" s="23"/>
      <c r="R160" s="23"/>
    </row>
    <row r="161" spans="1:18" ht="27" customHeight="1" x14ac:dyDescent="0.2">
      <c r="A161" s="363">
        <f>COUNTIF(L$1:L161,"!")</f>
        <v>12</v>
      </c>
      <c r="B161" s="364" t="str">
        <f>A161&amp;"."&amp;COUNTIF(A$3:A161,A161)-1</f>
        <v>12.5</v>
      </c>
      <c r="C161" s="103" t="s">
        <v>54</v>
      </c>
      <c r="D161" s="104"/>
      <c r="E161" s="365"/>
      <c r="F161" s="101"/>
      <c r="G161" s="104"/>
      <c r="H161" s="104"/>
      <c r="I161" s="118" t="s">
        <v>1</v>
      </c>
      <c r="J161" s="120">
        <f>SUM(J157:J160)</f>
        <v>0.55599999999999994</v>
      </c>
      <c r="K161" s="104"/>
      <c r="L161" s="53"/>
      <c r="M161" s="119"/>
      <c r="N161" s="70"/>
      <c r="O161" s="337"/>
      <c r="P161" s="30"/>
      <c r="Q161" s="90"/>
      <c r="R161" s="30"/>
    </row>
    <row r="162" spans="1:18" s="23" customFormat="1" ht="16.5" customHeight="1" x14ac:dyDescent="0.15">
      <c r="A162" s="97">
        <f>COUNTIF(L$1:L162,"!")</f>
        <v>13</v>
      </c>
      <c r="B162" s="32" t="str">
        <f>COUNTIF(L$2:L163,"!")&amp;"."</f>
        <v>13.</v>
      </c>
      <c r="C162" s="47" t="s">
        <v>2824</v>
      </c>
      <c r="D162" s="35" t="str">
        <f>D163</f>
        <v>GGD-800*600*2000</v>
      </c>
      <c r="E162" s="367" t="s">
        <v>22</v>
      </c>
      <c r="F162" s="367" t="s">
        <v>3261</v>
      </c>
      <c r="G162" s="34" t="s">
        <v>23</v>
      </c>
      <c r="H162" s="98">
        <v>1</v>
      </c>
      <c r="I162" s="115">
        <f>LOOKUP(0,0/((A162:A216=A162)*(C162:C216="合计金额（单位完整货物单价）")),J162:J216)</f>
        <v>1.5017600000000002</v>
      </c>
      <c r="J162" s="116">
        <f>IFERROR(I162*H162,"")</f>
        <v>1.5017600000000002</v>
      </c>
      <c r="K162" s="34"/>
      <c r="L162" s="48" t="s">
        <v>24</v>
      </c>
      <c r="M162" s="49"/>
      <c r="N162" s="50"/>
      <c r="O162" s="51"/>
      <c r="Q162" s="360">
        <f>COUNTIF(L$3:L162,"#")</f>
        <v>2</v>
      </c>
    </row>
    <row r="163" spans="1:18" s="23" customFormat="1" ht="16.5" customHeight="1" x14ac:dyDescent="0.2">
      <c r="A163" s="363">
        <f>COUNTIF(L$1:L163,"!")</f>
        <v>13</v>
      </c>
      <c r="B163" s="364" t="str">
        <f>A163&amp;"."&amp;COUNTIF(A$3:A163,A163)-1</f>
        <v>13.1</v>
      </c>
      <c r="C163" s="100" t="str">
        <f>IFERROR(VLOOKUP(D163,元件库!$B:$O,3,FALSE),"")</f>
        <v>壳体W*D*H</v>
      </c>
      <c r="D163" s="41" t="s">
        <v>181</v>
      </c>
      <c r="E163" s="101" t="s">
        <v>2821</v>
      </c>
      <c r="F163" s="101" t="s">
        <v>3261</v>
      </c>
      <c r="G163" s="41" t="s">
        <v>23</v>
      </c>
      <c r="H163" s="41">
        <v>1</v>
      </c>
      <c r="I163" s="117">
        <f>IFERROR(ROUND(L163*M163/10000,4),"")</f>
        <v>0.155</v>
      </c>
      <c r="J163" s="117">
        <f t="shared" ref="J163:J172" si="70">IFERROR(I163*H163,"")</f>
        <v>0.155</v>
      </c>
      <c r="K163" s="52"/>
      <c r="L163" s="53">
        <f t="shared" ref="L163:L180" si="71">L$2</f>
        <v>1</v>
      </c>
      <c r="M163" s="69">
        <f t="shared" ref="M163:M172" si="72">IFERROR(O163*N163,"")</f>
        <v>1550</v>
      </c>
      <c r="N163" s="55">
        <f>IFERROR(VLOOKUP(D163,元件库!$B:$O,10,FALSE),"1.00")</f>
        <v>1</v>
      </c>
      <c r="O163" s="337">
        <f>IFERROR(VLOOKUP(D163,元件库!$B:$O,11,FALSE),"")</f>
        <v>1550</v>
      </c>
      <c r="P163" s="57" t="str">
        <f t="shared" ref="P163:P172" si="73">IF(_xlfn.ISFORMULA(O163),"","值")</f>
        <v/>
      </c>
      <c r="Q163" s="90"/>
    </row>
    <row r="164" spans="1:18" s="23" customFormat="1" ht="16.5" customHeight="1" x14ac:dyDescent="0.2">
      <c r="A164" s="363">
        <f>COUNTIF(L$1:L164,"!")</f>
        <v>13</v>
      </c>
      <c r="B164" s="364" t="str">
        <f>A164&amp;"."&amp;COUNTIF(A$3:A164,A164)-1</f>
        <v>13.2</v>
      </c>
      <c r="C164" s="100" t="str">
        <f>IFERROR(VLOOKUP(D164,元件库!$B:$O,3,FALSE),"")</f>
        <v>封板</v>
      </c>
      <c r="D164" s="41" t="s">
        <v>2825</v>
      </c>
      <c r="E164" s="101" t="s">
        <v>2821</v>
      </c>
      <c r="F164" s="101" t="s">
        <v>3261</v>
      </c>
      <c r="G164" s="41" t="s">
        <v>23</v>
      </c>
      <c r="H164" s="41">
        <v>2</v>
      </c>
      <c r="I164" s="117">
        <f>IFERROR(ROUND(L164*M164/10000,4),"")</f>
        <v>1.7999999999999999E-2</v>
      </c>
      <c r="J164" s="117">
        <f t="shared" si="70"/>
        <v>3.5999999999999997E-2</v>
      </c>
      <c r="K164" s="52"/>
      <c r="L164" s="53">
        <f t="shared" si="71"/>
        <v>1</v>
      </c>
      <c r="M164" s="69">
        <f t="shared" si="72"/>
        <v>180</v>
      </c>
      <c r="N164" s="55">
        <f>IFERROR(VLOOKUP(D164,元件库!$B:$O,10,FALSE),"1.00")</f>
        <v>1</v>
      </c>
      <c r="O164" s="337">
        <f>IFERROR(VLOOKUP(D164,元件库!$B:$O,11,FALSE),"")</f>
        <v>180</v>
      </c>
      <c r="P164" s="57" t="str">
        <f t="shared" si="73"/>
        <v/>
      </c>
      <c r="Q164" s="90"/>
    </row>
    <row r="165" spans="1:18" s="23" customFormat="1" ht="16.5" customHeight="1" x14ac:dyDescent="0.2">
      <c r="A165" s="363">
        <f>COUNTIF(L$1:L165,"!")</f>
        <v>13</v>
      </c>
      <c r="B165" s="364" t="str">
        <f>A165&amp;"."&amp;COUNTIF(A$3:A165,A165)-1</f>
        <v>13.3</v>
      </c>
      <c r="C165" s="100" t="str">
        <f>IFERROR(VLOOKUP(D165,元件库!$B:$O,3,FALSE),"")</f>
        <v>刀开关</v>
      </c>
      <c r="D165" s="41" t="s">
        <v>2826</v>
      </c>
      <c r="E165" s="101" t="s">
        <v>2821</v>
      </c>
      <c r="F165" s="101" t="s">
        <v>32</v>
      </c>
      <c r="G165" s="41" t="s">
        <v>29</v>
      </c>
      <c r="H165" s="41">
        <v>1</v>
      </c>
      <c r="I165" s="117">
        <f t="shared" ref="I165:I172" si="74">IFERROR(ROUND(L165*M165/10000,4),"")</f>
        <v>9.2999999999999999E-2</v>
      </c>
      <c r="J165" s="117">
        <f t="shared" si="70"/>
        <v>9.2999999999999999E-2</v>
      </c>
      <c r="K165" s="52"/>
      <c r="L165" s="53">
        <f t="shared" si="71"/>
        <v>1</v>
      </c>
      <c r="M165" s="69">
        <f t="shared" si="72"/>
        <v>929.50000000000011</v>
      </c>
      <c r="N165" s="55">
        <f>IFERROR(VLOOKUP(D165,元件库!$B:$O,10,FALSE),"1.00")</f>
        <v>0.55000000000000004</v>
      </c>
      <c r="O165" s="337">
        <f>IFERROR(VLOOKUP(D165,元件库!$B:$O,11,FALSE),"")</f>
        <v>1690</v>
      </c>
      <c r="P165" s="57" t="str">
        <f t="shared" si="73"/>
        <v/>
      </c>
      <c r="Q165" s="90"/>
    </row>
    <row r="166" spans="1:18" s="23" customFormat="1" ht="16.5" customHeight="1" x14ac:dyDescent="0.2">
      <c r="A166" s="363">
        <f>COUNTIF(L$1:L166,"!")</f>
        <v>13</v>
      </c>
      <c r="B166" s="364" t="str">
        <f>A166&amp;"."&amp;COUNTIF(A$3:A166,A166)-1</f>
        <v>13.4</v>
      </c>
      <c r="C166" s="100" t="str">
        <f>IFERROR(VLOOKUP(D166,元件库!$B:$O,3,FALSE),"")</f>
        <v>框架断路器</v>
      </c>
      <c r="D166" s="41" t="s">
        <v>2827</v>
      </c>
      <c r="E166" s="101" t="s">
        <v>2821</v>
      </c>
      <c r="F166" s="101" t="s">
        <v>28</v>
      </c>
      <c r="G166" s="41" t="s">
        <v>29</v>
      </c>
      <c r="H166" s="41">
        <v>1</v>
      </c>
      <c r="I166" s="117">
        <f t="shared" si="74"/>
        <v>0.43049999999999999</v>
      </c>
      <c r="J166" s="117">
        <f t="shared" si="70"/>
        <v>0.43049999999999999</v>
      </c>
      <c r="K166" s="52"/>
      <c r="L166" s="53">
        <f t="shared" si="71"/>
        <v>1</v>
      </c>
      <c r="M166" s="69">
        <f t="shared" si="72"/>
        <v>4305</v>
      </c>
      <c r="N166" s="55">
        <f>IFERROR(VLOOKUP(D166,元件库!$B:$O,10,FALSE),"1.00")</f>
        <v>1</v>
      </c>
      <c r="O166" s="337">
        <f>IFERROR(VLOOKUP(D166,元件库!$B:$O,11,FALSE),"")</f>
        <v>4305</v>
      </c>
      <c r="P166" s="57" t="str">
        <f t="shared" si="73"/>
        <v/>
      </c>
      <c r="Q166" s="90"/>
    </row>
    <row r="167" spans="1:18" s="23" customFormat="1" ht="16.5" customHeight="1" x14ac:dyDescent="0.2">
      <c r="A167" s="363">
        <f>COUNTIF(L$1:L167,"!")</f>
        <v>13</v>
      </c>
      <c r="B167" s="364" t="str">
        <f>A167&amp;"."&amp;COUNTIF(A$3:A167,A167)-1</f>
        <v>13.5</v>
      </c>
      <c r="C167" s="100" t="str">
        <f>IFERROR(VLOOKUP(D167,元件库!$B:$O,3,FALSE),"")</f>
        <v/>
      </c>
      <c r="D167" s="41" t="s">
        <v>2829</v>
      </c>
      <c r="E167" s="101" t="s">
        <v>2821</v>
      </c>
      <c r="F167" s="101" t="s">
        <v>32</v>
      </c>
      <c r="G167" s="41" t="s">
        <v>29</v>
      </c>
      <c r="H167" s="41">
        <v>6</v>
      </c>
      <c r="I167" s="117" t="str">
        <f t="shared" si="74"/>
        <v/>
      </c>
      <c r="J167" s="117" t="str">
        <f t="shared" si="70"/>
        <v/>
      </c>
      <c r="K167" s="52"/>
      <c r="L167" s="53">
        <f t="shared" si="71"/>
        <v>1</v>
      </c>
      <c r="M167" s="69" t="str">
        <f t="shared" si="72"/>
        <v/>
      </c>
      <c r="N167" s="55" t="str">
        <f>IFERROR(VLOOKUP(D167,元件库!$B:$O,10,FALSE),"1.00")</f>
        <v>1.00</v>
      </c>
      <c r="O167" s="337" t="str">
        <f>IFERROR(VLOOKUP(D167,元件库!$B:$O,11,FALSE),"")</f>
        <v/>
      </c>
      <c r="P167" s="57" t="str">
        <f t="shared" si="73"/>
        <v/>
      </c>
    </row>
    <row r="168" spans="1:18" s="23" customFormat="1" ht="16.5" customHeight="1" x14ac:dyDescent="0.2">
      <c r="A168" s="363">
        <f>COUNTIF(L$1:L168,"!")</f>
        <v>13</v>
      </c>
      <c r="B168" s="364" t="str">
        <f>A168&amp;"."&amp;COUNTIF(A$3:A168,A168)-1</f>
        <v>13.6</v>
      </c>
      <c r="C168" s="100" t="str">
        <f>IFERROR(VLOOKUP(D168,元件库!$B:$O,3,FALSE),"")</f>
        <v>电流.电压表</v>
      </c>
      <c r="D168" s="41" t="s">
        <v>145</v>
      </c>
      <c r="E168" s="101" t="s">
        <v>2821</v>
      </c>
      <c r="F168" s="101" t="s">
        <v>32</v>
      </c>
      <c r="G168" s="41" t="s">
        <v>29</v>
      </c>
      <c r="H168" s="41">
        <v>3</v>
      </c>
      <c r="I168" s="117">
        <f t="shared" si="74"/>
        <v>1.4E-3</v>
      </c>
      <c r="J168" s="117">
        <f t="shared" si="70"/>
        <v>4.1999999999999997E-3</v>
      </c>
      <c r="K168" s="52"/>
      <c r="L168" s="53">
        <f t="shared" si="71"/>
        <v>1</v>
      </c>
      <c r="M168" s="69">
        <f t="shared" si="72"/>
        <v>13.750000000000002</v>
      </c>
      <c r="N168" s="55">
        <f>IFERROR(VLOOKUP(D168,元件库!$B:$O,10,FALSE),"1.00")</f>
        <v>0.55000000000000004</v>
      </c>
      <c r="O168" s="337">
        <f>IFERROR(VLOOKUP(D168,元件库!$B:$O,11,FALSE),"")</f>
        <v>25</v>
      </c>
      <c r="P168" s="57" t="str">
        <f t="shared" si="73"/>
        <v/>
      </c>
    </row>
    <row r="169" spans="1:18" s="23" customFormat="1" ht="16.5" customHeight="1" x14ac:dyDescent="0.2">
      <c r="A169" s="363">
        <f>COUNTIF(L$1:L169,"!")</f>
        <v>13</v>
      </c>
      <c r="B169" s="364" t="str">
        <f>A169&amp;"."&amp;COUNTIF(A$3:A169,A169)-1</f>
        <v>13.7</v>
      </c>
      <c r="C169" s="100" t="str">
        <f>IFERROR(VLOOKUP(D169,元件库!$B:$O,3,FALSE),"")</f>
        <v>电流.电压表</v>
      </c>
      <c r="D169" s="41" t="s">
        <v>150</v>
      </c>
      <c r="E169" s="101" t="s">
        <v>2821</v>
      </c>
      <c r="F169" s="101" t="s">
        <v>32</v>
      </c>
      <c r="G169" s="41" t="s">
        <v>29</v>
      </c>
      <c r="H169" s="41">
        <v>1</v>
      </c>
      <c r="I169" s="117">
        <f t="shared" si="74"/>
        <v>1.4E-3</v>
      </c>
      <c r="J169" s="117">
        <f t="shared" si="70"/>
        <v>1.4E-3</v>
      </c>
      <c r="K169" s="52"/>
      <c r="L169" s="53">
        <f t="shared" si="71"/>
        <v>1</v>
      </c>
      <c r="M169" s="69">
        <f t="shared" si="72"/>
        <v>13.750000000000002</v>
      </c>
      <c r="N169" s="55">
        <f>IFERROR(VLOOKUP(D169,元件库!$B:$O,10,FALSE),"1.00")</f>
        <v>0.55000000000000004</v>
      </c>
      <c r="O169" s="337">
        <f>IFERROR(VLOOKUP(D169,元件库!$B:$O,11,FALSE),"")</f>
        <v>25</v>
      </c>
      <c r="P169" s="57" t="str">
        <f t="shared" si="73"/>
        <v/>
      </c>
    </row>
    <row r="170" spans="1:18" s="23" customFormat="1" ht="16.5" customHeight="1" x14ac:dyDescent="0.2">
      <c r="A170" s="363">
        <f>COUNTIF(L$1:L170,"!")</f>
        <v>13</v>
      </c>
      <c r="B170" s="364" t="str">
        <f>A170&amp;"."&amp;COUNTIF(A$3:A170,A170)-1</f>
        <v>13.8</v>
      </c>
      <c r="C170" s="100" t="str">
        <f>IFERROR(VLOOKUP(D170,元件库!$B:$O,3,FALSE),"")</f>
        <v/>
      </c>
      <c r="D170" s="41" t="s">
        <v>2830</v>
      </c>
      <c r="E170" s="101" t="s">
        <v>2821</v>
      </c>
      <c r="F170" s="101" t="s">
        <v>32</v>
      </c>
      <c r="G170" s="41" t="s">
        <v>29</v>
      </c>
      <c r="H170" s="41">
        <v>1</v>
      </c>
      <c r="I170" s="117" t="str">
        <f t="shared" si="74"/>
        <v/>
      </c>
      <c r="J170" s="117" t="str">
        <f t="shared" si="70"/>
        <v/>
      </c>
      <c r="K170" s="52"/>
      <c r="L170" s="53">
        <f t="shared" si="71"/>
        <v>1</v>
      </c>
      <c r="M170" s="69" t="str">
        <f t="shared" si="72"/>
        <v/>
      </c>
      <c r="N170" s="55" t="str">
        <f>IFERROR(VLOOKUP(D170,元件库!$B:$O,10,FALSE),"1.00")</f>
        <v>1.00</v>
      </c>
      <c r="O170" s="337" t="str">
        <f>IFERROR(VLOOKUP(D170,元件库!$B:$O,11,FALSE),"")</f>
        <v/>
      </c>
      <c r="P170" s="57" t="str">
        <f t="shared" si="73"/>
        <v/>
      </c>
    </row>
    <row r="171" spans="1:18" s="23" customFormat="1" ht="16.5" customHeight="1" x14ac:dyDescent="0.2">
      <c r="A171" s="363">
        <f>COUNTIF(L$1:L171,"!")</f>
        <v>13</v>
      </c>
      <c r="B171" s="364" t="str">
        <f>A171&amp;"."&amp;COUNTIF(A$3:A171,A171)-1</f>
        <v>13.9</v>
      </c>
      <c r="C171" s="100" t="str">
        <f>IFERROR(VLOOKUP(D171,元件库!$B:$O,3,FALSE),"")</f>
        <v>浪涌保护器</v>
      </c>
      <c r="D171" s="41" t="s">
        <v>2831</v>
      </c>
      <c r="E171" s="101" t="s">
        <v>2821</v>
      </c>
      <c r="F171" s="101" t="s">
        <v>67</v>
      </c>
      <c r="G171" s="41" t="s">
        <v>29</v>
      </c>
      <c r="H171" s="41">
        <v>1</v>
      </c>
      <c r="I171" s="117">
        <f t="shared" si="74"/>
        <v>1.9E-2</v>
      </c>
      <c r="J171" s="117">
        <f t="shared" si="70"/>
        <v>1.9E-2</v>
      </c>
      <c r="K171" s="52"/>
      <c r="L171" s="53">
        <f t="shared" si="71"/>
        <v>1</v>
      </c>
      <c r="M171" s="69">
        <f t="shared" si="72"/>
        <v>190</v>
      </c>
      <c r="N171" s="55">
        <f>IFERROR(VLOOKUP(D171,元件库!$B:$O,10,FALSE),"1.00")</f>
        <v>1</v>
      </c>
      <c r="O171" s="337">
        <f>IFERROR(VLOOKUP(D171,元件库!$B:$O,11,FALSE),"")</f>
        <v>190</v>
      </c>
      <c r="P171" s="57" t="str">
        <f t="shared" si="73"/>
        <v/>
      </c>
    </row>
    <row r="172" spans="1:18" s="23" customFormat="1" ht="16.5" customHeight="1" x14ac:dyDescent="0.2">
      <c r="A172" s="363">
        <f>COUNTIF(L$1:L172,"!")</f>
        <v>13</v>
      </c>
      <c r="B172" s="364" t="str">
        <f>A172&amp;"."&amp;COUNTIF(A$3:A172,A172)-1</f>
        <v>13.10</v>
      </c>
      <c r="C172" s="100" t="str">
        <f>IFERROR(VLOOKUP(D172,元件库!$B:$O,3,FALSE),"")</f>
        <v/>
      </c>
      <c r="D172" s="41" t="s">
        <v>75</v>
      </c>
      <c r="E172" s="101" t="s">
        <v>2821</v>
      </c>
      <c r="F172" s="101" t="s">
        <v>32</v>
      </c>
      <c r="G172" s="41" t="s">
        <v>29</v>
      </c>
      <c r="H172" s="41">
        <v>4</v>
      </c>
      <c r="I172" s="117" t="str">
        <f t="shared" si="74"/>
        <v/>
      </c>
      <c r="J172" s="117" t="str">
        <f t="shared" si="70"/>
        <v/>
      </c>
      <c r="K172" s="52"/>
      <c r="L172" s="53">
        <f t="shared" si="71"/>
        <v>1</v>
      </c>
      <c r="M172" s="69" t="str">
        <f t="shared" si="72"/>
        <v/>
      </c>
      <c r="N172" s="55" t="str">
        <f>IFERROR(VLOOKUP(D172,元件库!$B:$O,10,FALSE),"1.00")</f>
        <v>1.00</v>
      </c>
      <c r="O172" s="337" t="str">
        <f>IFERROR(VLOOKUP(D172,元件库!$B:$O,11,FALSE),"")</f>
        <v/>
      </c>
      <c r="P172" s="57" t="str">
        <f t="shared" si="73"/>
        <v/>
      </c>
    </row>
    <row r="173" spans="1:18" s="23" customFormat="1" ht="16.5" customHeight="1" x14ac:dyDescent="0.2">
      <c r="A173" s="363">
        <f>COUNTIF(L$1:L173,"!")</f>
        <v>13</v>
      </c>
      <c r="B173" s="364" t="str">
        <f>A173&amp;"."&amp;COUNTIF(A$3:A173,A173)-1</f>
        <v>13.11</v>
      </c>
      <c r="C173" s="100" t="str">
        <f>IFERROR(VLOOKUP(D173,元件库!$B:$O,3,FALSE),"")</f>
        <v/>
      </c>
      <c r="D173" s="41" t="s">
        <v>2882</v>
      </c>
      <c r="E173" s="101" t="s">
        <v>2883</v>
      </c>
      <c r="F173" s="101" t="s">
        <v>32</v>
      </c>
      <c r="G173" s="41" t="s">
        <v>29</v>
      </c>
      <c r="H173" s="41">
        <v>4</v>
      </c>
      <c r="I173" s="117" t="str">
        <f>IFERROR(ROUND(L173*M173/10000,4),"")</f>
        <v/>
      </c>
      <c r="J173" s="117" t="str">
        <f>IFERROR(I173*H173,"")</f>
        <v/>
      </c>
      <c r="K173" s="52"/>
      <c r="L173" s="53">
        <f t="shared" si="71"/>
        <v>1</v>
      </c>
      <c r="M173" s="69" t="str">
        <f>IFERROR(O173*N173,"")</f>
        <v/>
      </c>
      <c r="N173" s="55" t="str">
        <f>IFERROR(VLOOKUP(D173,元件库!$B:$O,10,FALSE),"1.00")</f>
        <v>1.00</v>
      </c>
      <c r="O173" s="337" t="str">
        <f>IFERROR(VLOOKUP(D173,元件库!$B:$O,11,FALSE),"")</f>
        <v/>
      </c>
      <c r="P173" s="57" t="str">
        <f>IF(_xlfn.ISFORMULA(O173),"","值")</f>
        <v/>
      </c>
    </row>
    <row r="174" spans="1:18" s="23" customFormat="1" ht="16.5" customHeight="1" x14ac:dyDescent="0.2">
      <c r="A174" s="363">
        <f>COUNTIF(L$1:L174,"!")</f>
        <v>13</v>
      </c>
      <c r="B174" s="364" t="str">
        <f>A174&amp;"."&amp;COUNTIF(A$3:A174,A174)-1</f>
        <v>13.12</v>
      </c>
      <c r="C174" s="100" t="str">
        <f>IFERROR(VLOOKUP(D174,元件库!$B:$O,3,FALSE),"")</f>
        <v>指示灯</v>
      </c>
      <c r="D174" s="41" t="s">
        <v>35</v>
      </c>
      <c r="E174" s="101" t="s">
        <v>2883</v>
      </c>
      <c r="F174" s="101" t="s">
        <v>32</v>
      </c>
      <c r="G174" s="41" t="s">
        <v>29</v>
      </c>
      <c r="H174" s="41">
        <v>3</v>
      </c>
      <c r="I174" s="117">
        <f>IFERROR(ROUND(L174*M174/10000,4),"")</f>
        <v>2.0000000000000001E-4</v>
      </c>
      <c r="J174" s="117">
        <f>IFERROR(I174*H174,"")</f>
        <v>6.0000000000000006E-4</v>
      </c>
      <c r="K174" s="52"/>
      <c r="L174" s="53">
        <f t="shared" si="71"/>
        <v>1</v>
      </c>
      <c r="M174" s="69">
        <f>IFERROR(O174*N174,"")</f>
        <v>2.3100000000000005</v>
      </c>
      <c r="N174" s="55">
        <f>IFERROR(VLOOKUP(D174,元件库!$B:$O,10,FALSE),"1.00")</f>
        <v>0.55000000000000004</v>
      </c>
      <c r="O174" s="337">
        <f>IFERROR(VLOOKUP(D174,元件库!$B:$O,11,FALSE),"")</f>
        <v>4.2</v>
      </c>
      <c r="P174" s="57" t="str">
        <f>IF(_xlfn.ISFORMULA(O174),"","值")</f>
        <v/>
      </c>
    </row>
    <row r="175" spans="1:18" s="23" customFormat="1" ht="16.5" customHeight="1" x14ac:dyDescent="0.2">
      <c r="A175" s="363">
        <f>COUNTIF(L$1:L175,"!")</f>
        <v>13</v>
      </c>
      <c r="B175" s="364" t="str">
        <f>A175&amp;"."&amp;COUNTIF(A$3:A175,A175)-1</f>
        <v>13.13</v>
      </c>
      <c r="C175" s="100" t="str">
        <f>IFERROR(VLOOKUP(D175,元件库!$B:$O,3,FALSE),"")</f>
        <v/>
      </c>
      <c r="D175" s="41" t="s">
        <v>70</v>
      </c>
      <c r="E175" s="101" t="s">
        <v>2883</v>
      </c>
      <c r="F175" s="101" t="s">
        <v>32</v>
      </c>
      <c r="G175" s="41" t="s">
        <v>29</v>
      </c>
      <c r="H175" s="41">
        <v>2</v>
      </c>
      <c r="I175" s="117" t="str">
        <f>IFERROR(ROUND(L175*M175/10000,4),"")</f>
        <v/>
      </c>
      <c r="J175" s="117" t="str">
        <f>IFERROR(I175*H175,"")</f>
        <v/>
      </c>
      <c r="K175" s="52"/>
      <c r="L175" s="53">
        <f t="shared" si="71"/>
        <v>1</v>
      </c>
      <c r="M175" s="69" t="str">
        <f>IFERROR(O175*N175,"")</f>
        <v/>
      </c>
      <c r="N175" s="55" t="str">
        <f>IFERROR(VLOOKUP(D175,元件库!$B:$O,10,FALSE),"1.00")</f>
        <v>1.00</v>
      </c>
      <c r="O175" s="337" t="str">
        <f>IFERROR(VLOOKUP(D175,元件库!$B:$O,11,FALSE),"")</f>
        <v/>
      </c>
      <c r="P175" s="57" t="str">
        <f>IF(_xlfn.ISFORMULA(O175),"","值")</f>
        <v/>
      </c>
    </row>
    <row r="176" spans="1:18" s="23" customFormat="1" ht="16.5" customHeight="1" x14ac:dyDescent="0.2">
      <c r="A176" s="363">
        <f>COUNTIF(L$1:L176,"!")</f>
        <v>13</v>
      </c>
      <c r="B176" s="364" t="str">
        <f>A176&amp;"."&amp;COUNTIF(A$3:A176,A176)-1</f>
        <v>13.14</v>
      </c>
      <c r="C176" s="100" t="str">
        <f>IFERROR(VLOOKUP(D176,元件库!$B:$O,3,FALSE),"")</f>
        <v>铜排</v>
      </c>
      <c r="D176" s="41" t="s">
        <v>2884</v>
      </c>
      <c r="E176" s="101" t="s">
        <v>2885</v>
      </c>
      <c r="F176" s="101" t="s">
        <v>38</v>
      </c>
      <c r="G176" s="41" t="s">
        <v>39</v>
      </c>
      <c r="H176" s="41">
        <v>11</v>
      </c>
      <c r="I176" s="117">
        <f t="shared" ref="I176:I180" si="75">IFERROR(ROUND(L176*M176/10000,4),"")</f>
        <v>4.0599999999999997E-2</v>
      </c>
      <c r="J176" s="117">
        <f t="shared" ref="J176:J180" si="76">IFERROR(I176*H176,"")</f>
        <v>0.4466</v>
      </c>
      <c r="K176" s="52"/>
      <c r="L176" s="53">
        <f t="shared" si="71"/>
        <v>1</v>
      </c>
      <c r="M176" s="69">
        <f t="shared" ref="M176:M180" si="77">IFERROR(O176*N176,"")</f>
        <v>405.84</v>
      </c>
      <c r="N176" s="55">
        <f>IFERROR(VLOOKUP(D176,元件库!$B:$O,10,FALSE),"1.00")</f>
        <v>1</v>
      </c>
      <c r="O176" s="337">
        <f>IFERROR(VLOOKUP(D176,元件库!$B:$O,11,FALSE),"")</f>
        <v>405.84</v>
      </c>
      <c r="P176" s="57" t="str">
        <f t="shared" ref="P176:P180" si="78">IF(_xlfn.ISFORMULA(O176),"","值")</f>
        <v/>
      </c>
    </row>
    <row r="177" spans="1:17" s="23" customFormat="1" ht="16.5" customHeight="1" x14ac:dyDescent="0.2">
      <c r="A177" s="363">
        <f>COUNTIF(L$1:L177,"!")</f>
        <v>13</v>
      </c>
      <c r="B177" s="364" t="str">
        <f>A177&amp;"."&amp;COUNTIF(A$3:A177,A177)-1</f>
        <v>13.15</v>
      </c>
      <c r="C177" s="100" t="s">
        <v>42</v>
      </c>
      <c r="D177" s="41" t="s">
        <v>2884</v>
      </c>
      <c r="E177" s="101" t="s">
        <v>37</v>
      </c>
      <c r="F177" s="101" t="s">
        <v>38</v>
      </c>
      <c r="G177" s="41" t="s">
        <v>39</v>
      </c>
      <c r="H177" s="41">
        <v>2.4</v>
      </c>
      <c r="I177" s="117">
        <f t="shared" si="75"/>
        <v>4.0599999999999997E-2</v>
      </c>
      <c r="J177" s="117">
        <f t="shared" si="76"/>
        <v>9.7439999999999985E-2</v>
      </c>
      <c r="K177" s="52"/>
      <c r="L177" s="53">
        <f t="shared" si="71"/>
        <v>1</v>
      </c>
      <c r="M177" s="69">
        <f t="shared" si="77"/>
        <v>405.84</v>
      </c>
      <c r="N177" s="55">
        <f>IFERROR(VLOOKUP(D177,元件库!$B:$O,10,FALSE),"1.00")</f>
        <v>1</v>
      </c>
      <c r="O177" s="337">
        <f>IFERROR(VLOOKUP(D177,元件库!$B:$O,11,FALSE),"")</f>
        <v>405.84</v>
      </c>
      <c r="P177" s="57" t="str">
        <f t="shared" si="78"/>
        <v/>
      </c>
    </row>
    <row r="178" spans="1:17" s="23" customFormat="1" ht="16.5" customHeight="1" x14ac:dyDescent="0.2">
      <c r="A178" s="363">
        <f>COUNTIF(L$1:L178,"!")</f>
        <v>13</v>
      </c>
      <c r="B178" s="364" t="str">
        <f>A178&amp;"."&amp;COUNTIF(A$3:A178,A178)-1</f>
        <v>13.16</v>
      </c>
      <c r="C178" s="100" t="s">
        <v>44</v>
      </c>
      <c r="D178" s="41" t="s">
        <v>2884</v>
      </c>
      <c r="E178" s="101" t="s">
        <v>37</v>
      </c>
      <c r="F178" s="101" t="s">
        <v>38</v>
      </c>
      <c r="G178" s="41" t="s">
        <v>39</v>
      </c>
      <c r="H178" s="41">
        <v>2.2999999999999998</v>
      </c>
      <c r="I178" s="117">
        <f t="shared" si="75"/>
        <v>4.0599999999999997E-2</v>
      </c>
      <c r="J178" s="117">
        <f t="shared" si="76"/>
        <v>9.3379999999999991E-2</v>
      </c>
      <c r="K178" s="52"/>
      <c r="L178" s="53">
        <f t="shared" si="71"/>
        <v>1</v>
      </c>
      <c r="M178" s="69">
        <f t="shared" si="77"/>
        <v>405.84</v>
      </c>
      <c r="N178" s="55">
        <f>IFERROR(VLOOKUP(D178,元件库!$B:$O,10,FALSE),"1.00")</f>
        <v>1</v>
      </c>
      <c r="O178" s="337">
        <f>IFERROR(VLOOKUP(D178,元件库!$B:$O,11,FALSE),"")</f>
        <v>405.84</v>
      </c>
      <c r="P178" s="57" t="str">
        <f t="shared" si="78"/>
        <v/>
      </c>
    </row>
    <row r="179" spans="1:17" s="23" customFormat="1" ht="16.5" customHeight="1" x14ac:dyDescent="0.2">
      <c r="A179" s="363">
        <f>COUNTIF(L$1:L179,"!")</f>
        <v>13</v>
      </c>
      <c r="B179" s="364" t="str">
        <f>A179&amp;"."&amp;COUNTIF(A$3:A179,A179)-1</f>
        <v>13.17</v>
      </c>
      <c r="C179" s="100" t="s">
        <v>45</v>
      </c>
      <c r="D179" s="41" t="s">
        <v>2886</v>
      </c>
      <c r="E179" s="101" t="s">
        <v>37</v>
      </c>
      <c r="F179" s="101" t="s">
        <v>38</v>
      </c>
      <c r="G179" s="41" t="s">
        <v>39</v>
      </c>
      <c r="H179" s="41">
        <v>0.8</v>
      </c>
      <c r="I179" s="117">
        <f t="shared" si="75"/>
        <v>1.83E-2</v>
      </c>
      <c r="J179" s="117">
        <f t="shared" si="76"/>
        <v>1.464E-2</v>
      </c>
      <c r="K179" s="52"/>
      <c r="L179" s="53">
        <f t="shared" si="71"/>
        <v>1</v>
      </c>
      <c r="M179" s="69">
        <f t="shared" si="77"/>
        <v>182.62799999999999</v>
      </c>
      <c r="N179" s="55">
        <f>IFERROR(VLOOKUP(D179,元件库!$B:$O,10,FALSE),"1.00")</f>
        <v>1</v>
      </c>
      <c r="O179" s="337">
        <f>IFERROR(VLOOKUP(D179,元件库!$B:$O,11,FALSE),"")</f>
        <v>182.62799999999999</v>
      </c>
      <c r="P179" s="57" t="str">
        <f t="shared" si="78"/>
        <v/>
      </c>
    </row>
    <row r="180" spans="1:17" s="23" customFormat="1" ht="16.5" customHeight="1" x14ac:dyDescent="0.2">
      <c r="A180" s="363">
        <f>COUNTIF(L$1:L180,"!")</f>
        <v>13</v>
      </c>
      <c r="B180" s="364" t="str">
        <f>A180&amp;"."&amp;COUNTIF(A$3:A180,A180)-1</f>
        <v>13.18</v>
      </c>
      <c r="C180" s="100" t="s">
        <v>51</v>
      </c>
      <c r="D180" s="41"/>
      <c r="E180" s="101"/>
      <c r="F180" s="101"/>
      <c r="G180" s="41" t="s">
        <v>2887</v>
      </c>
      <c r="H180" s="41">
        <v>1</v>
      </c>
      <c r="I180" s="117">
        <f t="shared" si="75"/>
        <v>0.11</v>
      </c>
      <c r="J180" s="117">
        <f t="shared" si="76"/>
        <v>0.11</v>
      </c>
      <c r="K180" s="52"/>
      <c r="L180" s="53">
        <f t="shared" si="71"/>
        <v>1</v>
      </c>
      <c r="M180" s="69">
        <f t="shared" si="77"/>
        <v>1100</v>
      </c>
      <c r="N180" s="55">
        <v>1</v>
      </c>
      <c r="O180" s="337">
        <v>1100</v>
      </c>
      <c r="P180" s="57" t="str">
        <f t="shared" si="78"/>
        <v>值</v>
      </c>
    </row>
    <row r="181" spans="1:17" s="23" customFormat="1" ht="27" customHeight="1" x14ac:dyDescent="0.2">
      <c r="A181" s="363">
        <f>COUNTIF(L$1:L181,"!")</f>
        <v>13</v>
      </c>
      <c r="B181" s="364" t="str">
        <f>A181&amp;"."&amp;COUNTIF(A$3:A181,A181)-1</f>
        <v>13.19</v>
      </c>
      <c r="C181" s="103" t="s">
        <v>53</v>
      </c>
      <c r="D181" s="104"/>
      <c r="E181" s="365"/>
      <c r="F181" s="101"/>
      <c r="G181" s="104"/>
      <c r="H181" s="104" t="s">
        <v>1</v>
      </c>
      <c r="I181" s="118" t="s">
        <v>52</v>
      </c>
      <c r="J181" s="366"/>
      <c r="K181" s="104"/>
      <c r="L181" s="53"/>
      <c r="M181" s="119"/>
      <c r="N181" s="70"/>
      <c r="O181" s="337"/>
    </row>
    <row r="182" spans="1:17" s="30" customFormat="1" ht="27" customHeight="1" x14ac:dyDescent="0.2">
      <c r="A182" s="363">
        <f>COUNTIF(L$1:L182,"!")</f>
        <v>13</v>
      </c>
      <c r="B182" s="364" t="str">
        <f>A182&amp;"."&amp;COUNTIF(A$3:A182,A182)-1</f>
        <v>13.20</v>
      </c>
      <c r="C182" s="103" t="s">
        <v>54</v>
      </c>
      <c r="D182" s="104"/>
      <c r="E182" s="365"/>
      <c r="F182" s="101"/>
      <c r="G182" s="104"/>
      <c r="H182" s="104"/>
      <c r="I182" s="118" t="s">
        <v>1</v>
      </c>
      <c r="J182" s="120">
        <f>SUM(J163:J181)</f>
        <v>1.5017600000000002</v>
      </c>
      <c r="K182" s="104"/>
      <c r="L182" s="53"/>
      <c r="M182" s="119"/>
      <c r="N182" s="70"/>
      <c r="O182" s="337"/>
      <c r="Q182" s="90"/>
    </row>
    <row r="183" spans="1:17" s="23" customFormat="1" ht="16.5" customHeight="1" x14ac:dyDescent="0.15">
      <c r="A183" s="97">
        <f>COUNTIF(L$1:L183,"!")</f>
        <v>14</v>
      </c>
      <c r="B183" s="32" t="str">
        <f>COUNTIF(L$2:L184,"!")&amp;"."</f>
        <v>14.</v>
      </c>
      <c r="C183" s="47" t="s">
        <v>2836</v>
      </c>
      <c r="D183" s="35" t="str">
        <f>D184</f>
        <v>GGD-1200*600*2000</v>
      </c>
      <c r="E183" s="367" t="s">
        <v>22</v>
      </c>
      <c r="F183" s="367" t="s">
        <v>3261</v>
      </c>
      <c r="G183" s="34" t="s">
        <v>23</v>
      </c>
      <c r="H183" s="98">
        <v>1</v>
      </c>
      <c r="I183" s="115">
        <f>LOOKUP(0,0/((A183:A198=A183)*(C183:C198="合计金额（单位完整货物单价）")),J183:J198)</f>
        <v>1.0738599999999998</v>
      </c>
      <c r="J183" s="116">
        <f>IFERROR(I183*H183,"")</f>
        <v>1.0738599999999998</v>
      </c>
      <c r="K183" s="34"/>
      <c r="L183" s="48" t="s">
        <v>24</v>
      </c>
      <c r="M183" s="49"/>
      <c r="N183" s="50"/>
      <c r="O183" s="51"/>
      <c r="Q183" s="360">
        <f>COUNTIF(L$3:L183,"#")</f>
        <v>2</v>
      </c>
    </row>
    <row r="184" spans="1:17" s="23" customFormat="1" ht="16.5" customHeight="1" x14ac:dyDescent="0.2">
      <c r="A184" s="363">
        <f>COUNTIF(L$1:L184,"!")</f>
        <v>14</v>
      </c>
      <c r="B184" s="364" t="str">
        <f>A184&amp;"."&amp;COUNTIF(A$3:A184,A184)-1</f>
        <v>14.1</v>
      </c>
      <c r="C184" s="100" t="s">
        <v>25</v>
      </c>
      <c r="D184" s="41" t="s">
        <v>2888</v>
      </c>
      <c r="E184" s="101" t="s">
        <v>22</v>
      </c>
      <c r="F184" s="101" t="s">
        <v>3261</v>
      </c>
      <c r="G184" s="41" t="s">
        <v>23</v>
      </c>
      <c r="H184" s="41">
        <v>1</v>
      </c>
      <c r="I184" s="117">
        <f>IFERROR(ROUND(L184*M184/10000,4),"")</f>
        <v>0.185</v>
      </c>
      <c r="J184" s="117">
        <f t="shared" ref="J184:J196" si="79">IFERROR(I184*H184,"")</f>
        <v>0.185</v>
      </c>
      <c r="K184" s="52"/>
      <c r="L184" s="53">
        <f t="shared" ref="L184:L196" si="80">L$2</f>
        <v>1</v>
      </c>
      <c r="M184" s="69">
        <f t="shared" ref="M184:M196" si="81">IFERROR(O184*N184,"")</f>
        <v>1850</v>
      </c>
      <c r="N184" s="55">
        <f>IFERROR(VLOOKUP(D184,元件库!$B:$O,10,FALSE),"1.00")</f>
        <v>1</v>
      </c>
      <c r="O184" s="337">
        <f>IFERROR(VLOOKUP(D184,元件库!$B:$O,11,FALSE),"")</f>
        <v>1850</v>
      </c>
      <c r="P184" s="57" t="str">
        <f t="shared" ref="P184:P196" si="82">IF(_xlfn.ISFORMULA(O184),"","值")</f>
        <v/>
      </c>
      <c r="Q184" s="90"/>
    </row>
    <row r="185" spans="1:17" s="23" customFormat="1" ht="16.5" customHeight="1" x14ac:dyDescent="0.2">
      <c r="A185" s="363">
        <f>COUNTIF(L$1:L185,"!")</f>
        <v>14</v>
      </c>
      <c r="B185" s="364" t="str">
        <f>A185&amp;"."&amp;COUNTIF(A$3:A185,A185)-1</f>
        <v>14.2</v>
      </c>
      <c r="C185" s="100" t="str">
        <f>IFERROR(VLOOKUP(D185,元件库!$B:$O,3,FALSE),"")</f>
        <v/>
      </c>
      <c r="D185" s="41" t="s">
        <v>2889</v>
      </c>
      <c r="E185" s="101" t="s">
        <v>22</v>
      </c>
      <c r="F185" s="101" t="s">
        <v>32</v>
      </c>
      <c r="G185" s="41" t="s">
        <v>29</v>
      </c>
      <c r="H185" s="41">
        <v>2</v>
      </c>
      <c r="I185" s="117" t="str">
        <f t="shared" ref="I185:I196" si="83">IFERROR(ROUND(L185*M185/10000,4),"")</f>
        <v/>
      </c>
      <c r="J185" s="117" t="str">
        <f t="shared" si="79"/>
        <v/>
      </c>
      <c r="K185" s="52"/>
      <c r="L185" s="53">
        <f t="shared" si="80"/>
        <v>1</v>
      </c>
      <c r="M185" s="69" t="str">
        <f t="shared" si="81"/>
        <v/>
      </c>
      <c r="N185" s="55" t="str">
        <f>IFERROR(VLOOKUP(D185,元件库!$B:$O,10,FALSE),"1.00")</f>
        <v>1.00</v>
      </c>
      <c r="O185" s="337" t="str">
        <f>IFERROR(VLOOKUP(D185,元件库!$B:$O,11,FALSE),"")</f>
        <v/>
      </c>
      <c r="P185" s="57" t="str">
        <f t="shared" si="82"/>
        <v/>
      </c>
      <c r="Q185" s="90"/>
    </row>
    <row r="186" spans="1:17" s="23" customFormat="1" ht="16.5" customHeight="1" x14ac:dyDescent="0.2">
      <c r="A186" s="363">
        <f>COUNTIF(L$1:L186,"!")</f>
        <v>14</v>
      </c>
      <c r="B186" s="364" t="str">
        <f>A186&amp;"."&amp;COUNTIF(A$3:A186,A186)-1</f>
        <v>14.3</v>
      </c>
      <c r="C186" s="100" t="str">
        <f>IFERROR(VLOOKUP(D186,元件库!$B:$O,3,FALSE),"")</f>
        <v/>
      </c>
      <c r="D186" s="41" t="s">
        <v>2890</v>
      </c>
      <c r="E186" s="101" t="s">
        <v>22</v>
      </c>
      <c r="F186" s="101" t="s">
        <v>32</v>
      </c>
      <c r="G186" s="41" t="s">
        <v>29</v>
      </c>
      <c r="H186" s="41">
        <v>4</v>
      </c>
      <c r="I186" s="117" t="str">
        <f t="shared" si="83"/>
        <v/>
      </c>
      <c r="J186" s="117" t="str">
        <f t="shared" si="79"/>
        <v/>
      </c>
      <c r="K186" s="52"/>
      <c r="L186" s="53">
        <f t="shared" si="80"/>
        <v>1</v>
      </c>
      <c r="M186" s="69" t="str">
        <f t="shared" si="81"/>
        <v/>
      </c>
      <c r="N186" s="55" t="str">
        <f>IFERROR(VLOOKUP(D186,元件库!$B:$O,10,FALSE),"1.00")</f>
        <v>1.00</v>
      </c>
      <c r="O186" s="337" t="str">
        <f>IFERROR(VLOOKUP(D186,元件库!$B:$O,11,FALSE),"")</f>
        <v/>
      </c>
      <c r="P186" s="57" t="str">
        <f t="shared" si="82"/>
        <v/>
      </c>
      <c r="Q186" s="90"/>
    </row>
    <row r="187" spans="1:17" s="23" customFormat="1" ht="16.5" customHeight="1" x14ac:dyDescent="0.2">
      <c r="A187" s="363">
        <f>COUNTIF(L$1:L187,"!")</f>
        <v>14</v>
      </c>
      <c r="B187" s="364" t="str">
        <f>A187&amp;"."&amp;COUNTIF(A$3:A187,A187)-1</f>
        <v>14.4</v>
      </c>
      <c r="C187" s="100" t="str">
        <f>IFERROR(VLOOKUP(D187,元件库!$B:$O,3,FALSE),"")</f>
        <v>塑壳断路器</v>
      </c>
      <c r="D187" s="41" t="s">
        <v>2891</v>
      </c>
      <c r="E187" s="101" t="s">
        <v>22</v>
      </c>
      <c r="F187" s="101" t="s">
        <v>28</v>
      </c>
      <c r="G187" s="41" t="s">
        <v>29</v>
      </c>
      <c r="H187" s="41">
        <v>2</v>
      </c>
      <c r="I187" s="117">
        <f t="shared" si="83"/>
        <v>9.98E-2</v>
      </c>
      <c r="J187" s="117">
        <f t="shared" si="79"/>
        <v>0.1996</v>
      </c>
      <c r="K187" s="52"/>
      <c r="L187" s="53">
        <f t="shared" si="80"/>
        <v>1</v>
      </c>
      <c r="M187" s="69">
        <f t="shared" si="81"/>
        <v>998</v>
      </c>
      <c r="N187" s="55">
        <f>IFERROR(VLOOKUP(D187,元件库!$B:$O,10,FALSE),"1.00")</f>
        <v>1</v>
      </c>
      <c r="O187" s="337">
        <f>IFERROR(VLOOKUP(D187,元件库!$B:$O,11,FALSE),"")</f>
        <v>998</v>
      </c>
      <c r="P187" s="57" t="str">
        <f t="shared" si="82"/>
        <v/>
      </c>
      <c r="Q187" s="90"/>
    </row>
    <row r="188" spans="1:17" s="23" customFormat="1" ht="16.5" customHeight="1" x14ac:dyDescent="0.2">
      <c r="A188" s="363">
        <f>COUNTIF(L$1:L188,"!")</f>
        <v>14</v>
      </c>
      <c r="B188" s="364" t="str">
        <f>A188&amp;"."&amp;COUNTIF(A$3:A188,A188)-1</f>
        <v>14.5</v>
      </c>
      <c r="C188" s="100" t="str">
        <f>IFERROR(VLOOKUP(D188,元件库!$B:$O,3,FALSE),"")</f>
        <v>塑壳断路器</v>
      </c>
      <c r="D188" s="41" t="s">
        <v>2892</v>
      </c>
      <c r="E188" s="101" t="s">
        <v>22</v>
      </c>
      <c r="F188" s="101" t="s">
        <v>28</v>
      </c>
      <c r="G188" s="41" t="s">
        <v>29</v>
      </c>
      <c r="H188" s="41">
        <v>4</v>
      </c>
      <c r="I188" s="117">
        <f t="shared" si="83"/>
        <v>7.3499999999999996E-2</v>
      </c>
      <c r="J188" s="117">
        <f t="shared" si="79"/>
        <v>0.29399999999999998</v>
      </c>
      <c r="K188" s="52"/>
      <c r="L188" s="53">
        <f t="shared" si="80"/>
        <v>1</v>
      </c>
      <c r="M188" s="69">
        <f t="shared" si="81"/>
        <v>735</v>
      </c>
      <c r="N188" s="55">
        <f>IFERROR(VLOOKUP(D188,元件库!$B:$O,10,FALSE),"1.00")</f>
        <v>1</v>
      </c>
      <c r="O188" s="337">
        <f>IFERROR(VLOOKUP(D188,元件库!$B:$O,11,FALSE),"")</f>
        <v>735</v>
      </c>
      <c r="P188" s="57" t="str">
        <f t="shared" si="82"/>
        <v/>
      </c>
    </row>
    <row r="189" spans="1:17" s="23" customFormat="1" ht="16.5" customHeight="1" x14ac:dyDescent="0.2">
      <c r="A189" s="363">
        <f>COUNTIF(L$1:L189,"!")</f>
        <v>14</v>
      </c>
      <c r="B189" s="364" t="str">
        <f>A189&amp;"."&amp;COUNTIF(A$3:A189,A189)-1</f>
        <v>14.6</v>
      </c>
      <c r="C189" s="100" t="str">
        <f>IFERROR(VLOOKUP(D189,元件库!$B:$O,3,FALSE),"")</f>
        <v/>
      </c>
      <c r="D189" s="41" t="s">
        <v>2882</v>
      </c>
      <c r="E189" s="101" t="s">
        <v>22</v>
      </c>
      <c r="F189" s="101" t="s">
        <v>32</v>
      </c>
      <c r="G189" s="41" t="s">
        <v>29</v>
      </c>
      <c r="H189" s="41">
        <v>6</v>
      </c>
      <c r="I189" s="117" t="str">
        <f t="shared" si="83"/>
        <v/>
      </c>
      <c r="J189" s="117" t="str">
        <f t="shared" si="79"/>
        <v/>
      </c>
      <c r="K189" s="52"/>
      <c r="L189" s="53">
        <f t="shared" si="80"/>
        <v>1</v>
      </c>
      <c r="M189" s="69" t="str">
        <f t="shared" si="81"/>
        <v/>
      </c>
      <c r="N189" s="55" t="str">
        <f>IFERROR(VLOOKUP(D189,元件库!$B:$O,10,FALSE),"1.00")</f>
        <v>1.00</v>
      </c>
      <c r="O189" s="337" t="str">
        <f>IFERROR(VLOOKUP(D189,元件库!$B:$O,11,FALSE),"")</f>
        <v/>
      </c>
      <c r="P189" s="57" t="str">
        <f t="shared" si="82"/>
        <v/>
      </c>
    </row>
    <row r="190" spans="1:17" s="23" customFormat="1" ht="16.5" customHeight="1" x14ac:dyDescent="0.2">
      <c r="A190" s="363">
        <f>COUNTIF(L$1:L190,"!")</f>
        <v>14</v>
      </c>
      <c r="B190" s="364" t="str">
        <f>A190&amp;"."&amp;COUNTIF(A$3:A190,A190)-1</f>
        <v>14.7</v>
      </c>
      <c r="C190" s="100" t="str">
        <f>IFERROR(VLOOKUP(D190,元件库!$B:$O,3,FALSE),"")</f>
        <v>指示灯</v>
      </c>
      <c r="D190" s="41" t="s">
        <v>35</v>
      </c>
      <c r="E190" s="101" t="s">
        <v>22</v>
      </c>
      <c r="F190" s="101" t="s">
        <v>32</v>
      </c>
      <c r="G190" s="41" t="s">
        <v>29</v>
      </c>
      <c r="H190" s="41">
        <v>6</v>
      </c>
      <c r="I190" s="117">
        <f t="shared" si="83"/>
        <v>2.0000000000000001E-4</v>
      </c>
      <c r="J190" s="117">
        <f t="shared" si="79"/>
        <v>1.2000000000000001E-3</v>
      </c>
      <c r="K190" s="52"/>
      <c r="L190" s="53">
        <f t="shared" si="80"/>
        <v>1</v>
      </c>
      <c r="M190" s="69">
        <f t="shared" si="81"/>
        <v>2.3100000000000005</v>
      </c>
      <c r="N190" s="55">
        <f>IFERROR(VLOOKUP(D190,元件库!$B:$O,10,FALSE),"1.00")</f>
        <v>0.55000000000000004</v>
      </c>
      <c r="O190" s="337">
        <f>IFERROR(VLOOKUP(D190,元件库!$B:$O,11,FALSE),"")</f>
        <v>4.2</v>
      </c>
      <c r="P190" s="57" t="str">
        <f t="shared" si="82"/>
        <v/>
      </c>
    </row>
    <row r="191" spans="1:17" s="23" customFormat="1" ht="16.5" customHeight="1" x14ac:dyDescent="0.2">
      <c r="A191" s="363">
        <f>COUNTIF(L$1:L191,"!")</f>
        <v>14</v>
      </c>
      <c r="B191" s="364" t="str">
        <f>A191&amp;"."&amp;COUNTIF(A$3:A191,A191)-1</f>
        <v>14.8</v>
      </c>
      <c r="C191" s="100" t="str">
        <f>IFERROR(VLOOKUP(D191,元件库!$B:$O,3,FALSE),"")</f>
        <v>铜排</v>
      </c>
      <c r="D191" s="41" t="s">
        <v>2893</v>
      </c>
      <c r="E191" s="101" t="s">
        <v>37</v>
      </c>
      <c r="F191" s="101" t="s">
        <v>38</v>
      </c>
      <c r="G191" s="41" t="s">
        <v>39</v>
      </c>
      <c r="H191" s="41">
        <v>5</v>
      </c>
      <c r="I191" s="117">
        <f t="shared" si="83"/>
        <v>1.2699999999999999E-2</v>
      </c>
      <c r="J191" s="117">
        <f t="shared" si="79"/>
        <v>6.3500000000000001E-2</v>
      </c>
      <c r="K191" s="52"/>
      <c r="L191" s="53">
        <f t="shared" si="80"/>
        <v>1</v>
      </c>
      <c r="M191" s="69">
        <f t="shared" si="81"/>
        <v>126.82499999999999</v>
      </c>
      <c r="N191" s="55">
        <f>IFERROR(VLOOKUP(D191,元件库!$B:$O,10,FALSE),"1.00")</f>
        <v>1</v>
      </c>
      <c r="O191" s="337">
        <f>IFERROR(VLOOKUP(D191,元件库!$B:$O,11,FALSE),"")</f>
        <v>126.82499999999999</v>
      </c>
      <c r="P191" s="57" t="str">
        <f t="shared" si="82"/>
        <v/>
      </c>
    </row>
    <row r="192" spans="1:17" s="23" customFormat="1" ht="16.5" customHeight="1" x14ac:dyDescent="0.2">
      <c r="A192" s="363">
        <f>COUNTIF(L$1:L192,"!")</f>
        <v>14</v>
      </c>
      <c r="B192" s="364" t="str">
        <f>A192&amp;"."&amp;COUNTIF(A$3:A192,A192)-1</f>
        <v>14.9</v>
      </c>
      <c r="C192" s="100" t="str">
        <f>IFERROR(VLOOKUP(D192,元件库!$B:$O,3,FALSE),"")</f>
        <v>铜排</v>
      </c>
      <c r="D192" s="41" t="s">
        <v>2894</v>
      </c>
      <c r="E192" s="101" t="s">
        <v>37</v>
      </c>
      <c r="F192" s="101" t="s">
        <v>38</v>
      </c>
      <c r="G192" s="41" t="s">
        <v>39</v>
      </c>
      <c r="H192" s="41">
        <v>10</v>
      </c>
      <c r="I192" s="117">
        <f t="shared" si="83"/>
        <v>7.6E-3</v>
      </c>
      <c r="J192" s="117">
        <f t="shared" si="79"/>
        <v>7.5999999999999998E-2</v>
      </c>
      <c r="K192" s="52"/>
      <c r="L192" s="53">
        <f t="shared" si="80"/>
        <v>1</v>
      </c>
      <c r="M192" s="69">
        <f t="shared" si="81"/>
        <v>76.094999999999999</v>
      </c>
      <c r="N192" s="55">
        <f>IFERROR(VLOOKUP(D192,元件库!$B:$O,10,FALSE),"1.00")</f>
        <v>1</v>
      </c>
      <c r="O192" s="337">
        <f>IFERROR(VLOOKUP(D192,元件库!$B:$O,11,FALSE),"")</f>
        <v>76.094999999999999</v>
      </c>
      <c r="P192" s="57" t="str">
        <f t="shared" si="82"/>
        <v/>
      </c>
    </row>
    <row r="193" spans="1:17" s="23" customFormat="1" ht="16.5" customHeight="1" x14ac:dyDescent="0.2">
      <c r="A193" s="363">
        <f>COUNTIF(L$1:L193,"!")</f>
        <v>14</v>
      </c>
      <c r="B193" s="364" t="str">
        <f>A193&amp;"."&amp;COUNTIF(A$3:A193,A193)-1</f>
        <v>14.10</v>
      </c>
      <c r="C193" s="100" t="s">
        <v>42</v>
      </c>
      <c r="D193" s="41" t="s">
        <v>2884</v>
      </c>
      <c r="E193" s="101" t="s">
        <v>37</v>
      </c>
      <c r="F193" s="101" t="s">
        <v>38</v>
      </c>
      <c r="G193" s="41" t="s">
        <v>39</v>
      </c>
      <c r="H193" s="41">
        <v>2.4</v>
      </c>
      <c r="I193" s="117">
        <f t="shared" si="83"/>
        <v>4.0599999999999997E-2</v>
      </c>
      <c r="J193" s="117">
        <f t="shared" si="79"/>
        <v>9.7439999999999985E-2</v>
      </c>
      <c r="K193" s="52"/>
      <c r="L193" s="53">
        <f t="shared" si="80"/>
        <v>1</v>
      </c>
      <c r="M193" s="69">
        <f t="shared" si="81"/>
        <v>405.84</v>
      </c>
      <c r="N193" s="55">
        <f>IFERROR(VLOOKUP(D193,元件库!$B:$O,10,FALSE),"1.00")</f>
        <v>1</v>
      </c>
      <c r="O193" s="337">
        <f>IFERROR(VLOOKUP(D193,元件库!$B:$O,11,FALSE),"")</f>
        <v>405.84</v>
      </c>
      <c r="P193" s="57" t="str">
        <f t="shared" si="82"/>
        <v/>
      </c>
      <c r="Q193" s="59" t="str">
        <f>IFERROR(LOOKUP(0,0/((A$2:A191=A193)*(C$2:C191="壳体W*H*D")),D$2:D191),LOOKUP(0,0/((A$2:A191=A193)*(C$2:C191="壳体W*D*H")),D$2:D191))</f>
        <v>GGD-1200*600*2000</v>
      </c>
    </row>
    <row r="194" spans="1:17" s="23" customFormat="1" ht="16.5" customHeight="1" x14ac:dyDescent="0.2">
      <c r="A194" s="363">
        <f>COUNTIF(L$1:L194,"!")</f>
        <v>14</v>
      </c>
      <c r="B194" s="364" t="str">
        <f>A194&amp;"."&amp;COUNTIF(A$3:A194,A194)-1</f>
        <v>14.11</v>
      </c>
      <c r="C194" s="100" t="s">
        <v>44</v>
      </c>
      <c r="D194" s="41" t="s">
        <v>2884</v>
      </c>
      <c r="E194" s="101" t="s">
        <v>37</v>
      </c>
      <c r="F194" s="101" t="s">
        <v>38</v>
      </c>
      <c r="G194" s="41" t="s">
        <v>39</v>
      </c>
      <c r="H194" s="41">
        <v>0.8</v>
      </c>
      <c r="I194" s="117">
        <f t="shared" si="83"/>
        <v>4.0599999999999997E-2</v>
      </c>
      <c r="J194" s="117">
        <f t="shared" si="79"/>
        <v>3.2480000000000002E-2</v>
      </c>
      <c r="K194" s="52"/>
      <c r="L194" s="53">
        <f t="shared" si="80"/>
        <v>1</v>
      </c>
      <c r="M194" s="69">
        <f t="shared" si="81"/>
        <v>405.84</v>
      </c>
      <c r="N194" s="55">
        <f>IFERROR(VLOOKUP(D194,元件库!$B:$O,10,FALSE),"1.00")</f>
        <v>1</v>
      </c>
      <c r="O194" s="337">
        <f>IFERROR(VLOOKUP(D194,元件库!$B:$O,11,FALSE),"")</f>
        <v>405.84</v>
      </c>
      <c r="P194" s="57" t="str">
        <f t="shared" si="82"/>
        <v/>
      </c>
      <c r="Q194" s="59" t="str">
        <f>IFERROR(LOOKUP(0,0/((A$2:A193=A194)*(C$2:C193="壳体W*H*D")),D$2:D193),LOOKUP(0,0/((A$2:A193=A194)*(C$2:C193="壳体W*D*H")),D$2:D193))</f>
        <v>GGD-1200*600*2000</v>
      </c>
    </row>
    <row r="195" spans="1:17" s="23" customFormat="1" ht="16.5" customHeight="1" x14ac:dyDescent="0.2">
      <c r="A195" s="363">
        <f>COUNTIF(L$1:L195,"!")</f>
        <v>14</v>
      </c>
      <c r="B195" s="364" t="str">
        <f>A195&amp;"."&amp;COUNTIF(A$3:A195,A195)-1</f>
        <v>14.12</v>
      </c>
      <c r="C195" s="100" t="s">
        <v>45</v>
      </c>
      <c r="D195" s="41" t="s">
        <v>2886</v>
      </c>
      <c r="E195" s="101" t="s">
        <v>37</v>
      </c>
      <c r="F195" s="101" t="s">
        <v>38</v>
      </c>
      <c r="G195" s="41" t="s">
        <v>39</v>
      </c>
      <c r="H195" s="41">
        <v>0.8</v>
      </c>
      <c r="I195" s="117">
        <f t="shared" si="83"/>
        <v>1.83E-2</v>
      </c>
      <c r="J195" s="117">
        <f t="shared" si="79"/>
        <v>1.464E-2</v>
      </c>
      <c r="K195" s="52"/>
      <c r="L195" s="53">
        <f t="shared" si="80"/>
        <v>1</v>
      </c>
      <c r="M195" s="69">
        <f t="shared" si="81"/>
        <v>182.62799999999999</v>
      </c>
      <c r="N195" s="55">
        <f>IFERROR(VLOOKUP(D195,元件库!$B:$O,10,FALSE),"1.00")</f>
        <v>1</v>
      </c>
      <c r="O195" s="337">
        <f>IFERROR(VLOOKUP(D195,元件库!$B:$O,11,FALSE),"")</f>
        <v>182.62799999999999</v>
      </c>
      <c r="P195" s="57" t="str">
        <f t="shared" si="82"/>
        <v/>
      </c>
      <c r="Q195" s="59" t="str">
        <f>IFERROR(LOOKUP(0,0/((A$2:A194=A195)*(C$2:C194="壳体W*H*D")),D$2:D194),LOOKUP(0,0/((A$2:A194=A195)*(C$2:C194="壳体W*D*H")),D$2:D194))</f>
        <v>GGD-1200*600*2000</v>
      </c>
    </row>
    <row r="196" spans="1:17" s="23" customFormat="1" ht="16.5" customHeight="1" x14ac:dyDescent="0.2">
      <c r="A196" s="363">
        <f>COUNTIF(L$1:L196,"!")</f>
        <v>14</v>
      </c>
      <c r="B196" s="364" t="str">
        <f>A196&amp;"."&amp;COUNTIF(A$3:A196,A196)-1</f>
        <v>14.13</v>
      </c>
      <c r="C196" s="100" t="s">
        <v>51</v>
      </c>
      <c r="D196" s="41"/>
      <c r="E196" s="101"/>
      <c r="F196" s="101"/>
      <c r="G196" s="41" t="s">
        <v>2895</v>
      </c>
      <c r="H196" s="41">
        <v>1</v>
      </c>
      <c r="I196" s="117">
        <f t="shared" si="83"/>
        <v>0.11</v>
      </c>
      <c r="J196" s="117">
        <f t="shared" si="79"/>
        <v>0.11</v>
      </c>
      <c r="K196" s="52"/>
      <c r="L196" s="53">
        <f t="shared" si="80"/>
        <v>1</v>
      </c>
      <c r="M196" s="69">
        <f t="shared" si="81"/>
        <v>1100</v>
      </c>
      <c r="N196" s="55">
        <v>1</v>
      </c>
      <c r="O196" s="337">
        <v>1100</v>
      </c>
      <c r="P196" s="57" t="str">
        <f t="shared" si="82"/>
        <v>值</v>
      </c>
    </row>
    <row r="197" spans="1:17" s="23" customFormat="1" ht="27" customHeight="1" x14ac:dyDescent="0.2">
      <c r="A197" s="363">
        <f>COUNTIF(L$1:L197,"!")</f>
        <v>14</v>
      </c>
      <c r="B197" s="364" t="str">
        <f>A197&amp;"."&amp;COUNTIF(A$3:A197,A197)-1</f>
        <v>14.14</v>
      </c>
      <c r="C197" s="103" t="s">
        <v>53</v>
      </c>
      <c r="D197" s="104"/>
      <c r="E197" s="365"/>
      <c r="F197" s="101"/>
      <c r="G197" s="104"/>
      <c r="H197" s="104" t="s">
        <v>1</v>
      </c>
      <c r="I197" s="118" t="s">
        <v>52</v>
      </c>
      <c r="J197" s="366"/>
      <c r="K197" s="104"/>
      <c r="L197" s="53"/>
      <c r="M197" s="119"/>
      <c r="N197" s="70"/>
      <c r="O197" s="337"/>
    </row>
    <row r="198" spans="1:17" s="30" customFormat="1" ht="27" customHeight="1" x14ac:dyDescent="0.2">
      <c r="A198" s="363">
        <f>COUNTIF(L$1:L198,"!")</f>
        <v>14</v>
      </c>
      <c r="B198" s="364" t="str">
        <f>A198&amp;"."&amp;COUNTIF(A$3:A198,A198)-1</f>
        <v>14.15</v>
      </c>
      <c r="C198" s="103" t="s">
        <v>54</v>
      </c>
      <c r="D198" s="104"/>
      <c r="E198" s="365"/>
      <c r="F198" s="101"/>
      <c r="G198" s="104"/>
      <c r="H198" s="104"/>
      <c r="I198" s="118" t="s">
        <v>1</v>
      </c>
      <c r="J198" s="120">
        <f>SUM(J184:J197)</f>
        <v>1.0738599999999998</v>
      </c>
      <c r="K198" s="104"/>
      <c r="L198" s="53"/>
      <c r="M198" s="119"/>
      <c r="N198" s="70"/>
      <c r="O198" s="337"/>
      <c r="Q198" s="90"/>
    </row>
    <row r="199" spans="1:17" s="23" customFormat="1" ht="16.5" customHeight="1" x14ac:dyDescent="0.15">
      <c r="A199" s="97">
        <f>COUNTIF(L$1:L199,"!")</f>
        <v>15</v>
      </c>
      <c r="B199" s="32" t="str">
        <f>COUNTIF(L$2:L200,"!")&amp;"."</f>
        <v>15.</v>
      </c>
      <c r="C199" s="47" t="s">
        <v>2847</v>
      </c>
      <c r="D199" s="35" t="s">
        <v>2848</v>
      </c>
      <c r="E199" s="367" t="s">
        <v>22</v>
      </c>
      <c r="F199" s="367" t="s">
        <v>3261</v>
      </c>
      <c r="G199" s="34" t="s">
        <v>23</v>
      </c>
      <c r="H199" s="98">
        <v>1</v>
      </c>
      <c r="I199" s="115">
        <f>LOOKUP(0,0/((A199:A220=A199)*(C199:C220="合计金额（单位完整货物单价）")),J199:J220)</f>
        <v>1.31786</v>
      </c>
      <c r="J199" s="116">
        <f>IFERROR(I199*H199,"")</f>
        <v>1.31786</v>
      </c>
      <c r="K199" s="34"/>
      <c r="L199" s="48" t="s">
        <v>24</v>
      </c>
      <c r="M199" s="49"/>
      <c r="N199" s="50"/>
      <c r="O199" s="51"/>
      <c r="Q199" s="360">
        <f>COUNTIF(L$3:L199,"#")</f>
        <v>2</v>
      </c>
    </row>
    <row r="200" spans="1:17" s="23" customFormat="1" ht="16.5" customHeight="1" x14ac:dyDescent="0.2">
      <c r="A200" s="363">
        <f>COUNTIF(L$1:L200,"!")</f>
        <v>15</v>
      </c>
      <c r="B200" s="364" t="str">
        <f>A200&amp;"."&amp;COUNTIF(A$3:A200,A200)-1</f>
        <v>15.1</v>
      </c>
      <c r="C200" s="100" t="s">
        <v>25</v>
      </c>
      <c r="D200" s="41" t="s">
        <v>2337</v>
      </c>
      <c r="E200" s="101" t="s">
        <v>22</v>
      </c>
      <c r="F200" s="101" t="s">
        <v>3261</v>
      </c>
      <c r="G200" s="41" t="s">
        <v>23</v>
      </c>
      <c r="H200" s="41">
        <v>1</v>
      </c>
      <c r="I200" s="117">
        <f>IFERROR(ROUND(L200*M200/10000,4),"")</f>
        <v>0.155</v>
      </c>
      <c r="J200" s="117">
        <f t="shared" ref="J200:J209" si="84">IFERROR(I200*H200,"")</f>
        <v>0.155</v>
      </c>
      <c r="K200" s="52"/>
      <c r="L200" s="53">
        <f t="shared" ref="L200:L217" si="85">L$2</f>
        <v>1</v>
      </c>
      <c r="M200" s="69">
        <f t="shared" ref="M200:M209" si="86">IFERROR(O200*N200,"")</f>
        <v>1550</v>
      </c>
      <c r="N200" s="55">
        <f>IFERROR(VLOOKUP(D200,元件库!$B:$O,10,FALSE),"1.00")</f>
        <v>1</v>
      </c>
      <c r="O200" s="337">
        <f>IFERROR(VLOOKUP(D200,元件库!$B:$O,11,FALSE),"")</f>
        <v>1550</v>
      </c>
      <c r="P200" s="57" t="str">
        <f t="shared" ref="P200:P209" si="87">IF(_xlfn.ISFORMULA(O200),"","值")</f>
        <v/>
      </c>
      <c r="Q200" s="90"/>
    </row>
    <row r="201" spans="1:17" s="23" customFormat="1" ht="16.5" customHeight="1" x14ac:dyDescent="0.2">
      <c r="A201" s="363">
        <f>COUNTIF(L$1:L201,"!")</f>
        <v>15</v>
      </c>
      <c r="B201" s="364" t="str">
        <f>A201&amp;"."&amp;COUNTIF(A$3:A201,A201)-1</f>
        <v>15.2</v>
      </c>
      <c r="C201" s="100" t="str">
        <f>IFERROR(VLOOKUP(D201,元件库!$B:$O,3,FALSE),"")</f>
        <v>刀开关</v>
      </c>
      <c r="D201" s="41" t="s">
        <v>2896</v>
      </c>
      <c r="E201" s="101" t="s">
        <v>22</v>
      </c>
      <c r="F201" s="101" t="s">
        <v>32</v>
      </c>
      <c r="G201" s="41" t="s">
        <v>29</v>
      </c>
      <c r="H201" s="41">
        <v>1</v>
      </c>
      <c r="I201" s="117">
        <f>IFERROR(ROUND(L201*M201/10000,4),"")</f>
        <v>1.9300000000000001E-2</v>
      </c>
      <c r="J201" s="117">
        <f t="shared" si="84"/>
        <v>1.9300000000000001E-2</v>
      </c>
      <c r="K201" s="52"/>
      <c r="L201" s="53">
        <f t="shared" si="85"/>
        <v>1</v>
      </c>
      <c r="M201" s="69">
        <f t="shared" si="86"/>
        <v>192.50000000000003</v>
      </c>
      <c r="N201" s="55">
        <f>IFERROR(VLOOKUP(D201,元件库!$B:$O,10,FALSE),"1.00")</f>
        <v>0.55000000000000004</v>
      </c>
      <c r="O201" s="337">
        <f>IFERROR(VLOOKUP(D201,元件库!$B:$O,11,FALSE),"")</f>
        <v>350</v>
      </c>
      <c r="P201" s="57" t="str">
        <f t="shared" si="87"/>
        <v/>
      </c>
      <c r="Q201" s="90"/>
    </row>
    <row r="202" spans="1:17" s="23" customFormat="1" ht="16.5" customHeight="1" x14ac:dyDescent="0.2">
      <c r="A202" s="363">
        <f>COUNTIF(L$1:L202,"!")</f>
        <v>15</v>
      </c>
      <c r="B202" s="364" t="str">
        <f>A202&amp;"."&amp;COUNTIF(A$3:A202,A202)-1</f>
        <v>15.3</v>
      </c>
      <c r="C202" s="100" t="str">
        <f>IFERROR(VLOOKUP(D202,元件库!$B:$O,3,FALSE),"")</f>
        <v/>
      </c>
      <c r="D202" s="41" t="s">
        <v>31</v>
      </c>
      <c r="E202" s="101" t="s">
        <v>22</v>
      </c>
      <c r="F202" s="101" t="s">
        <v>32</v>
      </c>
      <c r="G202" s="41" t="s">
        <v>29</v>
      </c>
      <c r="H202" s="41">
        <v>3</v>
      </c>
      <c r="I202" s="117" t="str">
        <f t="shared" ref="I202:I209" si="88">IFERROR(ROUND(L202*M202/10000,4),"")</f>
        <v/>
      </c>
      <c r="J202" s="117" t="str">
        <f t="shared" si="84"/>
        <v/>
      </c>
      <c r="K202" s="52"/>
      <c r="L202" s="53">
        <f t="shared" si="85"/>
        <v>1</v>
      </c>
      <c r="M202" s="69" t="str">
        <f t="shared" si="86"/>
        <v/>
      </c>
      <c r="N202" s="55" t="str">
        <f>IFERROR(VLOOKUP(D202,元件库!$B:$O,10,FALSE),"1.00")</f>
        <v>1.00</v>
      </c>
      <c r="O202" s="337" t="str">
        <f>IFERROR(VLOOKUP(D202,元件库!$B:$O,11,FALSE),"")</f>
        <v/>
      </c>
      <c r="P202" s="57" t="str">
        <f t="shared" si="87"/>
        <v/>
      </c>
      <c r="Q202" s="90"/>
    </row>
    <row r="203" spans="1:17" s="23" customFormat="1" ht="16.5" customHeight="1" x14ac:dyDescent="0.2">
      <c r="A203" s="363">
        <f>COUNTIF(L$1:L203,"!")</f>
        <v>15</v>
      </c>
      <c r="B203" s="364" t="str">
        <f>A203&amp;"."&amp;COUNTIF(A$3:A203,A203)-1</f>
        <v>15.4</v>
      </c>
      <c r="C203" s="100" t="str">
        <f>IFERROR(VLOOKUP(D203,元件库!$B:$O,3,FALSE),"")</f>
        <v>电流.电压表</v>
      </c>
      <c r="D203" s="41" t="s">
        <v>145</v>
      </c>
      <c r="E203" s="101" t="s">
        <v>22</v>
      </c>
      <c r="F203" s="101" t="s">
        <v>32</v>
      </c>
      <c r="G203" s="41" t="s">
        <v>29</v>
      </c>
      <c r="H203" s="41">
        <v>3</v>
      </c>
      <c r="I203" s="117">
        <f t="shared" si="88"/>
        <v>1.4E-3</v>
      </c>
      <c r="J203" s="117">
        <f t="shared" si="84"/>
        <v>4.1999999999999997E-3</v>
      </c>
      <c r="K203" s="52"/>
      <c r="L203" s="53">
        <f t="shared" si="85"/>
        <v>1</v>
      </c>
      <c r="M203" s="69">
        <f t="shared" si="86"/>
        <v>13.750000000000002</v>
      </c>
      <c r="N203" s="55">
        <f>IFERROR(VLOOKUP(D203,元件库!$B:$O,10,FALSE),"1.00")</f>
        <v>0.55000000000000004</v>
      </c>
      <c r="O203" s="337">
        <f>IFERROR(VLOOKUP(D203,元件库!$B:$O,11,FALSE),"")</f>
        <v>25</v>
      </c>
      <c r="P203" s="57" t="str">
        <f t="shared" si="87"/>
        <v/>
      </c>
      <c r="Q203" s="90"/>
    </row>
    <row r="204" spans="1:17" s="23" customFormat="1" ht="16.5" customHeight="1" x14ac:dyDescent="0.2">
      <c r="A204" s="363">
        <f>COUNTIF(L$1:L204,"!")</f>
        <v>15</v>
      </c>
      <c r="B204" s="364" t="str">
        <f>A204&amp;"."&amp;COUNTIF(A$3:A204,A204)-1</f>
        <v>15.5</v>
      </c>
      <c r="C204" s="100" t="str">
        <f>IFERROR(VLOOKUP(D204,元件库!$B:$O,3,FALSE),"")</f>
        <v>电流.电压表</v>
      </c>
      <c r="D204" s="41" t="s">
        <v>150</v>
      </c>
      <c r="E204" s="101" t="s">
        <v>22</v>
      </c>
      <c r="F204" s="101" t="s">
        <v>32</v>
      </c>
      <c r="G204" s="41" t="s">
        <v>29</v>
      </c>
      <c r="H204" s="41">
        <v>1</v>
      </c>
      <c r="I204" s="117">
        <f t="shared" si="88"/>
        <v>1.4E-3</v>
      </c>
      <c r="J204" s="117">
        <f t="shared" si="84"/>
        <v>1.4E-3</v>
      </c>
      <c r="K204" s="52"/>
      <c r="L204" s="53">
        <f t="shared" si="85"/>
        <v>1</v>
      </c>
      <c r="M204" s="69">
        <f t="shared" si="86"/>
        <v>13.750000000000002</v>
      </c>
      <c r="N204" s="55">
        <f>IFERROR(VLOOKUP(D204,元件库!$B:$O,10,FALSE),"1.00")</f>
        <v>0.55000000000000004</v>
      </c>
      <c r="O204" s="337">
        <f>IFERROR(VLOOKUP(D204,元件库!$B:$O,11,FALSE),"")</f>
        <v>25</v>
      </c>
      <c r="P204" s="57" t="str">
        <f t="shared" si="87"/>
        <v/>
      </c>
    </row>
    <row r="205" spans="1:17" s="23" customFormat="1" ht="16.5" customHeight="1" x14ac:dyDescent="0.2">
      <c r="A205" s="363">
        <f>COUNTIF(L$1:L205,"!")</f>
        <v>15</v>
      </c>
      <c r="B205" s="364" t="str">
        <f>A205&amp;"."&amp;COUNTIF(A$3:A205,A205)-1</f>
        <v>15.6</v>
      </c>
      <c r="C205" s="100" t="str">
        <f>IFERROR(VLOOKUP(D205,元件库!$B:$O,3,FALSE),"")</f>
        <v/>
      </c>
      <c r="D205" s="41" t="s">
        <v>2897</v>
      </c>
      <c r="E205" s="101" t="s">
        <v>22</v>
      </c>
      <c r="F205" s="101" t="s">
        <v>32</v>
      </c>
      <c r="G205" s="41" t="s">
        <v>29</v>
      </c>
      <c r="H205" s="41">
        <v>1</v>
      </c>
      <c r="I205" s="117" t="str">
        <f t="shared" si="88"/>
        <v/>
      </c>
      <c r="J205" s="117" t="str">
        <f t="shared" si="84"/>
        <v/>
      </c>
      <c r="K205" s="52"/>
      <c r="L205" s="53">
        <f t="shared" si="85"/>
        <v>1</v>
      </c>
      <c r="M205" s="69" t="str">
        <f t="shared" si="86"/>
        <v/>
      </c>
      <c r="N205" s="55" t="str">
        <f>IFERROR(VLOOKUP(D205,元件库!$B:$O,10,FALSE),"1.00")</f>
        <v>1.00</v>
      </c>
      <c r="O205" s="337" t="str">
        <f>IFERROR(VLOOKUP(D205,元件库!$B:$O,11,FALSE),"")</f>
        <v/>
      </c>
      <c r="P205" s="57" t="str">
        <f t="shared" si="87"/>
        <v/>
      </c>
    </row>
    <row r="206" spans="1:17" s="23" customFormat="1" ht="16.5" customHeight="1" x14ac:dyDescent="0.2">
      <c r="A206" s="363">
        <f>COUNTIF(L$1:L206,"!")</f>
        <v>15</v>
      </c>
      <c r="B206" s="364" t="str">
        <f>A206&amp;"."&amp;COUNTIF(A$3:A206,A206)-1</f>
        <v>15.7</v>
      </c>
      <c r="C206" s="100" t="str">
        <f>IFERROR(VLOOKUP(D206,元件库!$B:$O,3,FALSE),"")</f>
        <v>智能电容器</v>
      </c>
      <c r="D206" s="41" t="s">
        <v>2898</v>
      </c>
      <c r="E206" s="101" t="s">
        <v>22</v>
      </c>
      <c r="F206" s="101" t="s">
        <v>1467</v>
      </c>
      <c r="G206" s="41" t="s">
        <v>29</v>
      </c>
      <c r="H206" s="41">
        <v>6</v>
      </c>
      <c r="I206" s="117">
        <f t="shared" si="88"/>
        <v>5.3999999999999999E-2</v>
      </c>
      <c r="J206" s="117">
        <f t="shared" si="84"/>
        <v>0.32400000000000001</v>
      </c>
      <c r="K206" s="52"/>
      <c r="L206" s="53">
        <f t="shared" si="85"/>
        <v>1</v>
      </c>
      <c r="M206" s="69">
        <f t="shared" si="86"/>
        <v>540</v>
      </c>
      <c r="N206" s="55">
        <f>IFERROR(VLOOKUP(D206,元件库!$B:$O,10,FALSE),"1.00")</f>
        <v>1</v>
      </c>
      <c r="O206" s="337">
        <f>IFERROR(VLOOKUP(D206,元件库!$B:$O,11,FALSE),"")</f>
        <v>540</v>
      </c>
      <c r="P206" s="57" t="str">
        <f t="shared" si="87"/>
        <v/>
      </c>
    </row>
    <row r="207" spans="1:17" s="23" customFormat="1" ht="16.5" customHeight="1" x14ac:dyDescent="0.2">
      <c r="A207" s="363">
        <f>COUNTIF(L$1:L207,"!")</f>
        <v>15</v>
      </c>
      <c r="B207" s="364" t="str">
        <f>A207&amp;"."&amp;COUNTIF(A$3:A207,A207)-1</f>
        <v>15.8</v>
      </c>
      <c r="C207" s="100" t="str">
        <f>IFERROR(VLOOKUP(D207,元件库!$B:$O,3,FALSE),"")</f>
        <v>智能电容器</v>
      </c>
      <c r="D207" s="41" t="s">
        <v>2899</v>
      </c>
      <c r="E207" s="101" t="s">
        <v>22</v>
      </c>
      <c r="F207" s="101" t="s">
        <v>1467</v>
      </c>
      <c r="G207" s="41" t="s">
        <v>29</v>
      </c>
      <c r="H207" s="41">
        <v>8</v>
      </c>
      <c r="I207" s="117">
        <f t="shared" si="88"/>
        <v>5.3999999999999999E-2</v>
      </c>
      <c r="J207" s="117">
        <f t="shared" si="84"/>
        <v>0.432</v>
      </c>
      <c r="K207" s="52"/>
      <c r="L207" s="53">
        <f t="shared" si="85"/>
        <v>1</v>
      </c>
      <c r="M207" s="69">
        <f t="shared" si="86"/>
        <v>540</v>
      </c>
      <c r="N207" s="55">
        <f>IFERROR(VLOOKUP(D207,元件库!$B:$O,10,FALSE),"1.00")</f>
        <v>1</v>
      </c>
      <c r="O207" s="337">
        <f>IFERROR(VLOOKUP(D207,元件库!$B:$O,11,FALSE),"")</f>
        <v>540</v>
      </c>
      <c r="P207" s="57" t="str">
        <f t="shared" si="87"/>
        <v/>
      </c>
    </row>
    <row r="208" spans="1:17" s="23" customFormat="1" ht="16.5" customHeight="1" x14ac:dyDescent="0.2">
      <c r="A208" s="363">
        <f>COUNTIF(L$1:L208,"!")</f>
        <v>15</v>
      </c>
      <c r="B208" s="364" t="str">
        <f>A208&amp;"."&amp;COUNTIF(A$3:A208,A208)-1</f>
        <v>15.9</v>
      </c>
      <c r="C208" s="100" t="str">
        <f>IFERROR(VLOOKUP(D208,元件库!$B:$O,3,FALSE),"")</f>
        <v>补偿控制器</v>
      </c>
      <c r="D208" s="41" t="s">
        <v>1481</v>
      </c>
      <c r="E208" s="101" t="s">
        <v>22</v>
      </c>
      <c r="F208" s="101" t="s">
        <v>1467</v>
      </c>
      <c r="G208" s="41" t="s">
        <v>29</v>
      </c>
      <c r="H208" s="41">
        <v>1</v>
      </c>
      <c r="I208" s="117">
        <f t="shared" si="88"/>
        <v>3.6999999999999998E-2</v>
      </c>
      <c r="J208" s="117">
        <f t="shared" si="84"/>
        <v>3.6999999999999998E-2</v>
      </c>
      <c r="K208" s="52"/>
      <c r="L208" s="53">
        <f t="shared" si="85"/>
        <v>1</v>
      </c>
      <c r="M208" s="69">
        <f t="shared" si="86"/>
        <v>370</v>
      </c>
      <c r="N208" s="55">
        <f>IFERROR(VLOOKUP(D208,元件库!$B:$O,10,FALSE),"1.00")</f>
        <v>1</v>
      </c>
      <c r="O208" s="337">
        <f>IFERROR(VLOOKUP(D208,元件库!$B:$O,11,FALSE),"")</f>
        <v>370</v>
      </c>
      <c r="P208" s="57" t="str">
        <f t="shared" si="87"/>
        <v/>
      </c>
    </row>
    <row r="209" spans="1:19" s="23" customFormat="1" ht="16.5" customHeight="1" x14ac:dyDescent="0.2">
      <c r="A209" s="363">
        <f>COUNTIF(L$1:L209,"!")</f>
        <v>15</v>
      </c>
      <c r="B209" s="364" t="str">
        <f>A209&amp;"."&amp;COUNTIF(A$3:A209,A209)-1</f>
        <v>15.10</v>
      </c>
      <c r="C209" s="100" t="str">
        <f>IFERROR(VLOOKUP(D209,元件库!$B:$O,3,FALSE),"")</f>
        <v>浪涌保护器</v>
      </c>
      <c r="D209" s="41" t="s">
        <v>1452</v>
      </c>
      <c r="E209" s="101" t="s">
        <v>22</v>
      </c>
      <c r="F209" s="101" t="s">
        <v>67</v>
      </c>
      <c r="G209" s="41" t="s">
        <v>29</v>
      </c>
      <c r="H209" s="41">
        <v>1</v>
      </c>
      <c r="I209" s="117">
        <f t="shared" si="88"/>
        <v>1.9E-2</v>
      </c>
      <c r="J209" s="117">
        <f t="shared" si="84"/>
        <v>1.9E-2</v>
      </c>
      <c r="K209" s="52"/>
      <c r="L209" s="53">
        <f t="shared" si="85"/>
        <v>1</v>
      </c>
      <c r="M209" s="69">
        <f t="shared" si="86"/>
        <v>190</v>
      </c>
      <c r="N209" s="55">
        <f>IFERROR(VLOOKUP(D209,元件库!$B:$O,10,FALSE),"1.00")</f>
        <v>1</v>
      </c>
      <c r="O209" s="337">
        <f>IFERROR(VLOOKUP(D209,元件库!$B:$O,11,FALSE),"")</f>
        <v>190</v>
      </c>
      <c r="P209" s="57" t="str">
        <f t="shared" si="87"/>
        <v/>
      </c>
    </row>
    <row r="210" spans="1:19" s="23" customFormat="1" ht="16.5" customHeight="1" x14ac:dyDescent="0.2">
      <c r="A210" s="363">
        <f>COUNTIF(L$1:L210,"!")</f>
        <v>15</v>
      </c>
      <c r="B210" s="364" t="str">
        <f>A210&amp;"."&amp;COUNTIF(A$3:A210,A210)-1</f>
        <v>15.11</v>
      </c>
      <c r="C210" s="100" t="str">
        <f>IFERROR(VLOOKUP(D210,元件库!$B:$O,3,FALSE),"")</f>
        <v/>
      </c>
      <c r="D210" s="41" t="s">
        <v>65</v>
      </c>
      <c r="E210" s="101" t="s">
        <v>22</v>
      </c>
      <c r="F210" s="101" t="s">
        <v>32</v>
      </c>
      <c r="G210" s="41" t="s">
        <v>29</v>
      </c>
      <c r="H210" s="41">
        <v>4</v>
      </c>
      <c r="I210" s="117" t="str">
        <f>IFERROR(ROUND(L210*M210/10000,4),"")</f>
        <v/>
      </c>
      <c r="J210" s="117" t="str">
        <f>IFERROR(I210*H210,"")</f>
        <v/>
      </c>
      <c r="K210" s="52"/>
      <c r="L210" s="53">
        <f t="shared" si="85"/>
        <v>1</v>
      </c>
      <c r="M210" s="69" t="str">
        <f>IFERROR(O210*N210,"")</f>
        <v/>
      </c>
      <c r="N210" s="55" t="str">
        <f>IFERROR(VLOOKUP(D210,元件库!$B:$O,10,FALSE),"1.00")</f>
        <v>1.00</v>
      </c>
      <c r="O210" s="337" t="str">
        <f>IFERROR(VLOOKUP(D210,元件库!$B:$O,11,FALSE),"")</f>
        <v/>
      </c>
      <c r="P210" s="57" t="str">
        <f>IF(_xlfn.ISFORMULA(O210),"","值")</f>
        <v/>
      </c>
    </row>
    <row r="211" spans="1:19" s="23" customFormat="1" ht="16.5" customHeight="1" x14ac:dyDescent="0.2">
      <c r="A211" s="363">
        <f>COUNTIF(L$1:L211,"!")</f>
        <v>15</v>
      </c>
      <c r="B211" s="364" t="str">
        <f>A211&amp;"."&amp;COUNTIF(A$3:A211,A211)-1</f>
        <v>15.12</v>
      </c>
      <c r="C211" s="100" t="str">
        <f>IFERROR(VLOOKUP(D211,元件库!$B:$O,3,FALSE),"")</f>
        <v/>
      </c>
      <c r="D211" s="41" t="s">
        <v>2900</v>
      </c>
      <c r="E211" s="101" t="s">
        <v>22</v>
      </c>
      <c r="F211" s="101" t="s">
        <v>32</v>
      </c>
      <c r="G211" s="41" t="s">
        <v>29</v>
      </c>
      <c r="H211" s="41">
        <v>18</v>
      </c>
      <c r="I211" s="117" t="str">
        <f>IFERROR(ROUND(L211*M211/10000,4),"")</f>
        <v/>
      </c>
      <c r="J211" s="117" t="str">
        <f>IFERROR(I211*H211,"")</f>
        <v/>
      </c>
      <c r="K211" s="52"/>
      <c r="L211" s="53">
        <f t="shared" si="85"/>
        <v>1</v>
      </c>
      <c r="M211" s="69" t="str">
        <f>IFERROR(O211*N211,"")</f>
        <v/>
      </c>
      <c r="N211" s="55" t="str">
        <f>IFERROR(VLOOKUP(D211,元件库!$B:$O,10,FALSE),"1.00")</f>
        <v>1.00</v>
      </c>
      <c r="O211" s="337" t="str">
        <f>IFERROR(VLOOKUP(D211,元件库!$B:$O,11,FALSE),"")</f>
        <v/>
      </c>
      <c r="P211" s="57" t="str">
        <f>IF(_xlfn.ISFORMULA(O211),"","值")</f>
        <v/>
      </c>
    </row>
    <row r="212" spans="1:19" s="23" customFormat="1" ht="16.5" customHeight="1" x14ac:dyDescent="0.2">
      <c r="A212" s="363">
        <f>COUNTIF(L$1:L212,"!")</f>
        <v>15</v>
      </c>
      <c r="B212" s="364" t="str">
        <f>A212&amp;"."&amp;COUNTIF(A$3:A212,A212)-1</f>
        <v>15.13</v>
      </c>
      <c r="C212" s="100" t="str">
        <f>IFERROR(VLOOKUP(D212,元件库!$B:$O,3,FALSE),"")</f>
        <v>指示灯</v>
      </c>
      <c r="D212" s="41" t="s">
        <v>35</v>
      </c>
      <c r="E212" s="101" t="s">
        <v>22</v>
      </c>
      <c r="F212" s="101" t="s">
        <v>32</v>
      </c>
      <c r="G212" s="41" t="s">
        <v>29</v>
      </c>
      <c r="H212" s="41">
        <v>14</v>
      </c>
      <c r="I212" s="117">
        <f>IFERROR(ROUND(L212*M212/10000,4),"")</f>
        <v>2.0000000000000001E-4</v>
      </c>
      <c r="J212" s="117">
        <f>IFERROR(I212*H212,"")</f>
        <v>2.8E-3</v>
      </c>
      <c r="K212" s="52"/>
      <c r="L212" s="53">
        <f t="shared" si="85"/>
        <v>1</v>
      </c>
      <c r="M212" s="69">
        <f>IFERROR(O212*N212,"")</f>
        <v>2.3100000000000005</v>
      </c>
      <c r="N212" s="55">
        <f>IFERROR(VLOOKUP(D212,元件库!$B:$O,10,FALSE),"1.00")</f>
        <v>0.55000000000000004</v>
      </c>
      <c r="O212" s="337">
        <f>IFERROR(VLOOKUP(D212,元件库!$B:$O,11,FALSE),"")</f>
        <v>4.2</v>
      </c>
      <c r="P212" s="57" t="str">
        <f>IF(_xlfn.ISFORMULA(O212),"","值")</f>
        <v/>
      </c>
    </row>
    <row r="213" spans="1:19" s="23" customFormat="1" ht="16.5" customHeight="1" x14ac:dyDescent="0.2">
      <c r="A213" s="363">
        <f>COUNTIF(L$1:L213,"!")</f>
        <v>15</v>
      </c>
      <c r="B213" s="364" t="str">
        <f>A213&amp;"."&amp;COUNTIF(A$3:A213,A213)-1</f>
        <v>15.14</v>
      </c>
      <c r="C213" s="100" t="str">
        <f>IFERROR(VLOOKUP(D213,元件库!$B:$O,3,FALSE),"")</f>
        <v>铜排</v>
      </c>
      <c r="D213" s="41" t="s">
        <v>2334</v>
      </c>
      <c r="E213" s="101" t="s">
        <v>37</v>
      </c>
      <c r="F213" s="101" t="s">
        <v>38</v>
      </c>
      <c r="G213" s="41" t="s">
        <v>39</v>
      </c>
      <c r="H213" s="41">
        <v>6</v>
      </c>
      <c r="I213" s="117">
        <f t="shared" ref="I213:I217" si="89">IFERROR(ROUND(L213*M213/10000,4),"")</f>
        <v>8.0999999999999996E-3</v>
      </c>
      <c r="J213" s="117">
        <f t="shared" ref="J213:J217" si="90">IFERROR(I213*H213,"")</f>
        <v>4.8599999999999997E-2</v>
      </c>
      <c r="K213" s="52"/>
      <c r="L213" s="53">
        <f t="shared" si="85"/>
        <v>1</v>
      </c>
      <c r="M213" s="69">
        <f t="shared" ref="M213:M217" si="91">IFERROR(O213*N213,"")</f>
        <v>81.167999999999992</v>
      </c>
      <c r="N213" s="55">
        <f>IFERROR(VLOOKUP(D213,元件库!$B:$O,10,FALSE),"1.00")</f>
        <v>1</v>
      </c>
      <c r="O213" s="337">
        <f>IFERROR(VLOOKUP(D213,元件库!$B:$O,11,FALSE),"")</f>
        <v>81.167999999999992</v>
      </c>
      <c r="P213" s="57" t="str">
        <f t="shared" ref="P213:P217" si="92">IF(_xlfn.ISFORMULA(O213),"","值")</f>
        <v/>
      </c>
    </row>
    <row r="214" spans="1:19" s="23" customFormat="1" ht="16.5" customHeight="1" x14ac:dyDescent="0.2">
      <c r="A214" s="363">
        <f>COUNTIF(L$1:L214,"!")</f>
        <v>15</v>
      </c>
      <c r="B214" s="364" t="str">
        <f>A214&amp;"."&amp;COUNTIF(A$3:A214,A214)-1</f>
        <v>15.15</v>
      </c>
      <c r="C214" s="100" t="s">
        <v>42</v>
      </c>
      <c r="D214" s="41" t="s">
        <v>2901</v>
      </c>
      <c r="E214" s="101" t="s">
        <v>37</v>
      </c>
      <c r="F214" s="101" t="s">
        <v>38</v>
      </c>
      <c r="G214" s="41" t="s">
        <v>39</v>
      </c>
      <c r="H214" s="41">
        <v>2.4</v>
      </c>
      <c r="I214" s="117">
        <f t="shared" si="89"/>
        <v>4.0599999999999997E-2</v>
      </c>
      <c r="J214" s="117">
        <f t="shared" si="90"/>
        <v>9.7439999999999985E-2</v>
      </c>
      <c r="K214" s="52"/>
      <c r="L214" s="53">
        <f t="shared" si="85"/>
        <v>1</v>
      </c>
      <c r="M214" s="69">
        <f t="shared" si="91"/>
        <v>405.84</v>
      </c>
      <c r="N214" s="55">
        <f>IFERROR(VLOOKUP(D214,元件库!$B:$O,10,FALSE),"1.00")</f>
        <v>1</v>
      </c>
      <c r="O214" s="337">
        <f>IFERROR(VLOOKUP(D214,元件库!$B:$O,11,FALSE),"")</f>
        <v>405.84</v>
      </c>
      <c r="P214" s="57" t="str">
        <f t="shared" si="92"/>
        <v/>
      </c>
    </row>
    <row r="215" spans="1:19" s="23" customFormat="1" ht="16.5" customHeight="1" x14ac:dyDescent="0.2">
      <c r="A215" s="363">
        <f>COUNTIF(L$1:L215,"!")</f>
        <v>15</v>
      </c>
      <c r="B215" s="364" t="str">
        <f>A215&amp;"."&amp;COUNTIF(A$3:A215,A215)-1</f>
        <v>15.16</v>
      </c>
      <c r="C215" s="100" t="s">
        <v>44</v>
      </c>
      <c r="D215" s="41" t="s">
        <v>2901</v>
      </c>
      <c r="E215" s="101" t="s">
        <v>37</v>
      </c>
      <c r="F215" s="101" t="s">
        <v>38</v>
      </c>
      <c r="G215" s="41" t="s">
        <v>39</v>
      </c>
      <c r="H215" s="41">
        <v>0.8</v>
      </c>
      <c r="I215" s="117">
        <f t="shared" si="89"/>
        <v>4.0599999999999997E-2</v>
      </c>
      <c r="J215" s="117">
        <f t="shared" si="90"/>
        <v>3.2480000000000002E-2</v>
      </c>
      <c r="K215" s="52"/>
      <c r="L215" s="53">
        <f t="shared" si="85"/>
        <v>1</v>
      </c>
      <c r="M215" s="69">
        <f t="shared" si="91"/>
        <v>405.84</v>
      </c>
      <c r="N215" s="55">
        <f>IFERROR(VLOOKUP(D215,元件库!$B:$O,10,FALSE),"1.00")</f>
        <v>1</v>
      </c>
      <c r="O215" s="337">
        <f>IFERROR(VLOOKUP(D215,元件库!$B:$O,11,FALSE),"")</f>
        <v>405.84</v>
      </c>
      <c r="P215" s="57" t="str">
        <f t="shared" si="92"/>
        <v/>
      </c>
    </row>
    <row r="216" spans="1:19" s="23" customFormat="1" ht="16.5" customHeight="1" x14ac:dyDescent="0.2">
      <c r="A216" s="363">
        <f>COUNTIF(L$1:L216,"!")</f>
        <v>15</v>
      </c>
      <c r="B216" s="364" t="str">
        <f>A216&amp;"."&amp;COUNTIF(A$3:A216,A216)-1</f>
        <v>15.17</v>
      </c>
      <c r="C216" s="100" t="s">
        <v>45</v>
      </c>
      <c r="D216" s="41" t="s">
        <v>2902</v>
      </c>
      <c r="E216" s="101" t="s">
        <v>37</v>
      </c>
      <c r="F216" s="101" t="s">
        <v>38</v>
      </c>
      <c r="G216" s="41" t="s">
        <v>39</v>
      </c>
      <c r="H216" s="41">
        <v>0.8</v>
      </c>
      <c r="I216" s="117">
        <f t="shared" si="89"/>
        <v>1.83E-2</v>
      </c>
      <c r="J216" s="117">
        <f t="shared" si="90"/>
        <v>1.464E-2</v>
      </c>
      <c r="K216" s="52"/>
      <c r="L216" s="53">
        <f t="shared" si="85"/>
        <v>1</v>
      </c>
      <c r="M216" s="69">
        <f t="shared" si="91"/>
        <v>182.62799999999999</v>
      </c>
      <c r="N216" s="55">
        <f>IFERROR(VLOOKUP(D216,元件库!$B:$O,10,FALSE),"1.00")</f>
        <v>1</v>
      </c>
      <c r="O216" s="337">
        <f>IFERROR(VLOOKUP(D216,元件库!$B:$O,11,FALSE),"")</f>
        <v>182.62799999999999</v>
      </c>
      <c r="P216" s="57" t="str">
        <f t="shared" si="92"/>
        <v/>
      </c>
    </row>
    <row r="217" spans="1:19" s="23" customFormat="1" ht="16.5" customHeight="1" x14ac:dyDescent="0.2">
      <c r="A217" s="363">
        <f>COUNTIF(L$1:L217,"!")</f>
        <v>15</v>
      </c>
      <c r="B217" s="364" t="str">
        <f>A217&amp;"."&amp;COUNTIF(A$3:A217,A217)-1</f>
        <v>15.18</v>
      </c>
      <c r="C217" s="100" t="s">
        <v>51</v>
      </c>
      <c r="D217" s="41"/>
      <c r="E217" s="101"/>
      <c r="F217" s="101"/>
      <c r="G217" s="41" t="s">
        <v>2871</v>
      </c>
      <c r="H217" s="41">
        <v>1</v>
      </c>
      <c r="I217" s="117">
        <f t="shared" si="89"/>
        <v>0.13</v>
      </c>
      <c r="J217" s="117">
        <f t="shared" si="90"/>
        <v>0.13</v>
      </c>
      <c r="K217" s="52"/>
      <c r="L217" s="53">
        <f t="shared" si="85"/>
        <v>1</v>
      </c>
      <c r="M217" s="69">
        <f t="shared" si="91"/>
        <v>1300</v>
      </c>
      <c r="N217" s="55">
        <v>1</v>
      </c>
      <c r="O217" s="337">
        <v>1300</v>
      </c>
      <c r="P217" s="57" t="str">
        <f t="shared" si="92"/>
        <v>值</v>
      </c>
    </row>
    <row r="218" spans="1:19" s="23" customFormat="1" ht="27" customHeight="1" x14ac:dyDescent="0.2">
      <c r="A218" s="363">
        <f>COUNTIF(L$1:L218,"!")</f>
        <v>15</v>
      </c>
      <c r="B218" s="364" t="str">
        <f>A218&amp;"."&amp;COUNTIF(A$3:A218,A218)-1</f>
        <v>15.19</v>
      </c>
      <c r="C218" s="103" t="s">
        <v>53</v>
      </c>
      <c r="D218" s="104"/>
      <c r="E218" s="365"/>
      <c r="F218" s="101"/>
      <c r="G218" s="104"/>
      <c r="H218" s="104" t="s">
        <v>1</v>
      </c>
      <c r="I218" s="118" t="s">
        <v>52</v>
      </c>
      <c r="J218" s="366"/>
      <c r="K218" s="104"/>
      <c r="L218" s="53"/>
      <c r="M218" s="119"/>
      <c r="N218" s="70"/>
      <c r="O218" s="337"/>
    </row>
    <row r="219" spans="1:19" s="30" customFormat="1" ht="27" customHeight="1" x14ac:dyDescent="0.2">
      <c r="A219" s="363">
        <f>COUNTIF(L$1:L219,"!")</f>
        <v>15</v>
      </c>
      <c r="B219" s="364" t="str">
        <f>A219&amp;"."&amp;COUNTIF(A$3:A219,A219)-1</f>
        <v>15.20</v>
      </c>
      <c r="C219" s="103" t="s">
        <v>54</v>
      </c>
      <c r="D219" s="104"/>
      <c r="E219" s="365"/>
      <c r="F219" s="101"/>
      <c r="G219" s="104"/>
      <c r="H219" s="104"/>
      <c r="I219" s="118" t="s">
        <v>1</v>
      </c>
      <c r="J219" s="120">
        <f>SUM(J200:J218)</f>
        <v>1.31786</v>
      </c>
      <c r="K219" s="104"/>
      <c r="L219" s="53"/>
      <c r="M219" s="119"/>
      <c r="N219" s="70"/>
      <c r="O219" s="337"/>
      <c r="Q219" s="90"/>
    </row>
    <row r="220" spans="1:19" s="23" customFormat="1" ht="16.5" customHeight="1" x14ac:dyDescent="0.15">
      <c r="A220" s="97">
        <f>COUNTIF(L$1:L220,"!")</f>
        <v>16</v>
      </c>
      <c r="B220" s="32" t="str">
        <f>COUNTIF(L$2:L220,"!")&amp;"."</f>
        <v>16.</v>
      </c>
      <c r="C220" s="47" t="s">
        <v>2903</v>
      </c>
      <c r="D220" s="35" t="s">
        <v>2904</v>
      </c>
      <c r="E220" s="367" t="s">
        <v>22</v>
      </c>
      <c r="F220" s="367" t="s">
        <v>3261</v>
      </c>
      <c r="G220" s="34" t="s">
        <v>23</v>
      </c>
      <c r="H220" s="98">
        <v>1</v>
      </c>
      <c r="I220" s="115">
        <f>LOOKUP(0,0/((A220:A241=A220)*(C220:C241="合计金额（单位完整货物单价）")),J220:J241)</f>
        <v>3.0379999999999998</v>
      </c>
      <c r="J220" s="116">
        <f>IFERROR(I220*H220,"")</f>
        <v>3.0379999999999998</v>
      </c>
      <c r="K220" s="34"/>
      <c r="L220" s="48" t="s">
        <v>24</v>
      </c>
      <c r="M220" s="49"/>
      <c r="N220" s="50"/>
      <c r="O220" s="51"/>
      <c r="Q220" s="360">
        <f>COUNTIF(L$3:L220,"#")</f>
        <v>2</v>
      </c>
    </row>
    <row r="221" spans="1:19" s="23" customFormat="1" ht="16.5" customHeight="1" x14ac:dyDescent="0.2">
      <c r="A221" s="363">
        <f>COUNTIF(L$1:L221,"!")</f>
        <v>16</v>
      </c>
      <c r="B221" s="364" t="str">
        <f>A221&amp;"."&amp;COUNTIF(A$3:A221,A221)-1</f>
        <v>16.1</v>
      </c>
      <c r="C221" s="100" t="s">
        <v>2905</v>
      </c>
      <c r="D221" s="41" t="s">
        <v>2906</v>
      </c>
      <c r="E221" s="101" t="s">
        <v>2879</v>
      </c>
      <c r="F221" s="100" t="s">
        <v>3261</v>
      </c>
      <c r="G221" s="100" t="str">
        <f>G220</f>
        <v>台</v>
      </c>
      <c r="H221" s="41">
        <v>1</v>
      </c>
      <c r="I221" s="117">
        <f t="shared" ref="I221:I222" si="93">IFERROR(ROUND(L221*M221/10000,4),"")</f>
        <v>2.8079999999999998</v>
      </c>
      <c r="J221" s="117">
        <f t="shared" ref="J221:J222" si="94">IFERROR(I221*H221,"")</f>
        <v>2.8079999999999998</v>
      </c>
      <c r="K221" s="52"/>
      <c r="L221" s="53">
        <f t="shared" ref="L221:L222" si="95">L$2</f>
        <v>1</v>
      </c>
      <c r="M221" s="69">
        <f t="shared" ref="M221:M222" si="96">IFERROR(O221*N221,"")</f>
        <v>28080</v>
      </c>
      <c r="N221" s="55">
        <v>1</v>
      </c>
      <c r="O221" s="337">
        <f>R221*S221</f>
        <v>28080</v>
      </c>
      <c r="P221" s="57" t="str">
        <f t="shared" ref="P221:P222" si="97">IF(_xlfn.ISFORMULA(O221),"","值")</f>
        <v/>
      </c>
      <c r="Q221" s="30" t="s">
        <v>2904</v>
      </c>
      <c r="R221" s="30">
        <v>3000</v>
      </c>
      <c r="S221" s="24">
        <f>(MID(D221,FIND(" ",D221)+1,FIND("*",D221)-FIND(" ",D221)-1)*MID(D221,FIND("*",D221)+1,FIND("*",MID(D221,FIND("*",D221)+1,30))-1))/1000000*IF(ROUND(RIGHT(D221,4),0)&gt;2650,1/2.65*2.95,1)</f>
        <v>9.36</v>
      </c>
    </row>
    <row r="222" spans="1:19" s="23" customFormat="1" ht="16.5" customHeight="1" x14ac:dyDescent="0.2">
      <c r="A222" s="363">
        <f>COUNTIF(L$1:L222,"!")</f>
        <v>16</v>
      </c>
      <c r="B222" s="364" t="str">
        <f>A222&amp;"."&amp;COUNTIF(A$3:A222,A222)-1</f>
        <v>16.2</v>
      </c>
      <c r="C222" s="100" t="s">
        <v>51</v>
      </c>
      <c r="D222" s="41"/>
      <c r="E222" s="101"/>
      <c r="F222" s="101"/>
      <c r="G222" s="41" t="s">
        <v>2871</v>
      </c>
      <c r="H222" s="41">
        <v>1</v>
      </c>
      <c r="I222" s="117">
        <f t="shared" si="93"/>
        <v>0.23</v>
      </c>
      <c r="J222" s="117">
        <f t="shared" si="94"/>
        <v>0.23</v>
      </c>
      <c r="K222" s="52"/>
      <c r="L222" s="53">
        <f t="shared" si="95"/>
        <v>1</v>
      </c>
      <c r="M222" s="69">
        <f t="shared" si="96"/>
        <v>2300</v>
      </c>
      <c r="N222" s="55">
        <v>1</v>
      </c>
      <c r="O222" s="56">
        <v>2300</v>
      </c>
      <c r="P222" s="57" t="str">
        <f t="shared" si="97"/>
        <v>值</v>
      </c>
    </row>
    <row r="223" spans="1:19" s="23" customFormat="1" ht="27" customHeight="1" x14ac:dyDescent="0.2">
      <c r="A223" s="363">
        <f>COUNTIF(L$1:L223,"!")</f>
        <v>16</v>
      </c>
      <c r="B223" s="364" t="str">
        <f>A223&amp;"."&amp;COUNTIF(A$3:A223,A223)-1</f>
        <v>16.3</v>
      </c>
      <c r="C223" s="103" t="s">
        <v>53</v>
      </c>
      <c r="D223" s="104"/>
      <c r="E223" s="365"/>
      <c r="F223" s="101"/>
      <c r="G223" s="104"/>
      <c r="H223" s="104" t="s">
        <v>1</v>
      </c>
      <c r="I223" s="118" t="s">
        <v>52</v>
      </c>
      <c r="J223" s="366"/>
      <c r="K223" s="104"/>
      <c r="L223" s="53"/>
      <c r="M223" s="119"/>
      <c r="N223" s="70"/>
      <c r="O223" s="337"/>
    </row>
    <row r="224" spans="1:19" s="30" customFormat="1" ht="27" customHeight="1" x14ac:dyDescent="0.2">
      <c r="A224" s="363">
        <f>COUNTIF(L$1:L224,"!")</f>
        <v>16</v>
      </c>
      <c r="B224" s="364" t="str">
        <f>A224&amp;"."&amp;COUNTIF(A$3:A224,A224)-1</f>
        <v>16.4</v>
      </c>
      <c r="C224" s="103" t="s">
        <v>54</v>
      </c>
      <c r="D224" s="104"/>
      <c r="E224" s="365"/>
      <c r="F224" s="101"/>
      <c r="G224" s="104"/>
      <c r="H224" s="104"/>
      <c r="I224" s="118" t="s">
        <v>1</v>
      </c>
      <c r="J224" s="120">
        <f>SUM(J221:J223)</f>
        <v>3.0379999999999998</v>
      </c>
      <c r="K224" s="104"/>
      <c r="L224" s="53"/>
      <c r="M224" s="119"/>
      <c r="N224" s="70"/>
      <c r="O224" s="337"/>
      <c r="Q224" s="90"/>
    </row>
    <row r="225" spans="1:18" s="30" customFormat="1" ht="16.5" customHeight="1" x14ac:dyDescent="0.2">
      <c r="A225" s="83" t="s">
        <v>2767</v>
      </c>
      <c r="B225" s="94" t="s">
        <v>8</v>
      </c>
      <c r="C225" s="94" t="s">
        <v>9</v>
      </c>
      <c r="D225" s="95" t="s">
        <v>10</v>
      </c>
      <c r="E225" s="95" t="s">
        <v>11</v>
      </c>
      <c r="F225" s="96" t="s">
        <v>12</v>
      </c>
      <c r="G225" s="94" t="s">
        <v>13</v>
      </c>
      <c r="H225" s="94" t="s">
        <v>14</v>
      </c>
      <c r="I225" s="110" t="s">
        <v>15</v>
      </c>
      <c r="J225" s="111" t="s">
        <v>16</v>
      </c>
      <c r="K225" s="112" t="s">
        <v>17</v>
      </c>
      <c r="L225" s="113" t="s">
        <v>18</v>
      </c>
      <c r="M225" s="114" t="s">
        <v>19</v>
      </c>
      <c r="N225" s="114" t="s">
        <v>20</v>
      </c>
      <c r="O225" s="114" t="s">
        <v>21</v>
      </c>
      <c r="P225" s="349"/>
      <c r="Q225" s="90"/>
    </row>
    <row r="226" spans="1:18" ht="16.5" customHeight="1" x14ac:dyDescent="0.2">
      <c r="A226" s="83" t="s">
        <v>2768</v>
      </c>
      <c r="B226" s="350">
        <f>COUNTIF(L$1:L226,"#")</f>
        <v>3</v>
      </c>
      <c r="C226" s="351" t="s">
        <v>2907</v>
      </c>
      <c r="D226" s="352" t="s">
        <v>2908</v>
      </c>
      <c r="E226" s="353" t="s">
        <v>22</v>
      </c>
      <c r="F226" s="353" t="s">
        <v>3261</v>
      </c>
      <c r="G226" s="353" t="s">
        <v>23</v>
      </c>
      <c r="H226" s="353">
        <v>1</v>
      </c>
      <c r="I226" s="354">
        <f>SUMIF(Q227:Q641,B226,J227:J641)</f>
        <v>14.43172</v>
      </c>
      <c r="J226" s="355">
        <f>IFERROR(I226*H226,"")</f>
        <v>14.43172</v>
      </c>
      <c r="K226" s="356" t="s">
        <v>2909</v>
      </c>
      <c r="L226" s="357" t="s">
        <v>2772</v>
      </c>
      <c r="M226" s="358"/>
      <c r="N226" s="358"/>
      <c r="O226" s="358"/>
      <c r="P226" s="359"/>
      <c r="Q226" s="360"/>
      <c r="R226" s="30"/>
    </row>
    <row r="227" spans="1:18" ht="16.5" customHeight="1" x14ac:dyDescent="0.15">
      <c r="A227" s="97">
        <f>COUNTIF(L$1:L227,"!")</f>
        <v>17</v>
      </c>
      <c r="B227" s="32" t="str">
        <f>COUNTIF(L$2:L228,"!")&amp;"."</f>
        <v>17.</v>
      </c>
      <c r="C227" s="47" t="s">
        <v>2773</v>
      </c>
      <c r="D227" s="35" t="s">
        <v>2861</v>
      </c>
      <c r="E227" s="99" t="s">
        <v>22</v>
      </c>
      <c r="F227" s="99" t="s">
        <v>3261</v>
      </c>
      <c r="G227" s="34" t="s">
        <v>23</v>
      </c>
      <c r="H227" s="98">
        <v>1</v>
      </c>
      <c r="I227" s="115">
        <f>LOOKUP(0,0/((A227:A309=A227)*(C227:C309="合计金额（单位完整货物单价）")),J227:J309)</f>
        <v>2.7988999999999997</v>
      </c>
      <c r="J227" s="116">
        <f>IFERROR(I227*H227,"")</f>
        <v>2.7988999999999997</v>
      </c>
      <c r="K227" s="34"/>
      <c r="L227" s="48" t="s">
        <v>24</v>
      </c>
      <c r="M227" s="49"/>
      <c r="N227" s="50"/>
      <c r="O227" s="362"/>
      <c r="P227" s="23"/>
      <c r="Q227" s="360">
        <f>COUNTIF(L$3:L227,"#")</f>
        <v>3</v>
      </c>
      <c r="R227" s="23"/>
    </row>
    <row r="228" spans="1:18" ht="16.5" customHeight="1" x14ac:dyDescent="0.2">
      <c r="A228" s="363">
        <f>COUNTIF(L$1:L228,"!")</f>
        <v>17</v>
      </c>
      <c r="B228" s="364" t="str">
        <f>A228&amp;"."&amp;COUNTIF(A$3:A228,A228)-1</f>
        <v>17.1</v>
      </c>
      <c r="C228" s="100" t="s">
        <v>2775</v>
      </c>
      <c r="D228" s="41" t="s">
        <v>2862</v>
      </c>
      <c r="E228" s="101" t="s">
        <v>22</v>
      </c>
      <c r="F228" s="101" t="s">
        <v>2863</v>
      </c>
      <c r="G228" s="41" t="s">
        <v>23</v>
      </c>
      <c r="H228" s="41">
        <v>2</v>
      </c>
      <c r="I228" s="117">
        <f>IFERROR(ROUND(L228*M228/10000,4),"")</f>
        <v>0.54379999999999995</v>
      </c>
      <c r="J228" s="117">
        <f t="shared" ref="J228:J238" si="98">IFERROR(I228*H228,"")</f>
        <v>1.0875999999999999</v>
      </c>
      <c r="K228" s="52"/>
      <c r="L228" s="53">
        <f t="shared" ref="L228:L238" si="99">L$2</f>
        <v>1</v>
      </c>
      <c r="M228" s="69">
        <f t="shared" ref="M228:M238" si="100">IFERROR(O228*N228,"")</f>
        <v>5438</v>
      </c>
      <c r="N228" s="55">
        <v>1</v>
      </c>
      <c r="O228" s="337">
        <v>5438</v>
      </c>
      <c r="P228" s="57" t="str">
        <f t="shared" ref="P228:P238" si="101">IF(_xlfn.ISFORMULA(O228),"","值")</f>
        <v>值</v>
      </c>
      <c r="Q228" s="90"/>
      <c r="R228" s="23"/>
    </row>
    <row r="229" spans="1:18" ht="16.5" customHeight="1" x14ac:dyDescent="0.2">
      <c r="A229" s="363">
        <f>COUNTIF(L$1:L229,"!")</f>
        <v>17</v>
      </c>
      <c r="B229" s="364" t="str">
        <f>A229&amp;"."&amp;COUNTIF(A$3:A229,A229)-1</f>
        <v>17.2</v>
      </c>
      <c r="C229" s="100" t="s">
        <v>2775</v>
      </c>
      <c r="D229" s="41" t="s">
        <v>2864</v>
      </c>
      <c r="E229" s="101" t="s">
        <v>22</v>
      </c>
      <c r="F229" s="101" t="s">
        <v>2863</v>
      </c>
      <c r="G229" s="41" t="s">
        <v>23</v>
      </c>
      <c r="H229" s="41">
        <v>1</v>
      </c>
      <c r="I229" s="117">
        <f t="shared" ref="I229:I238" si="102">IFERROR(ROUND(L229*M229/10000,4),"")</f>
        <v>0.82499999999999996</v>
      </c>
      <c r="J229" s="117">
        <f t="shared" si="98"/>
        <v>0.82499999999999996</v>
      </c>
      <c r="K229" s="52"/>
      <c r="L229" s="53">
        <f t="shared" si="99"/>
        <v>1</v>
      </c>
      <c r="M229" s="69">
        <f t="shared" si="100"/>
        <v>8250</v>
      </c>
      <c r="N229" s="55">
        <v>1</v>
      </c>
      <c r="O229" s="337">
        <v>8250</v>
      </c>
      <c r="P229" s="57" t="str">
        <f t="shared" si="101"/>
        <v>值</v>
      </c>
      <c r="Q229" s="90"/>
      <c r="R229" s="23"/>
    </row>
    <row r="230" spans="1:18" ht="16.5" customHeight="1" x14ac:dyDescent="0.2">
      <c r="A230" s="363">
        <f>COUNTIF(L$1:L230,"!")</f>
        <v>17</v>
      </c>
      <c r="B230" s="364" t="str">
        <f>A230&amp;"."&amp;COUNTIF(A$3:A230,A230)-1</f>
        <v>17.3</v>
      </c>
      <c r="C230" s="100" t="s">
        <v>61</v>
      </c>
      <c r="D230" s="41" t="s">
        <v>2781</v>
      </c>
      <c r="E230" s="101" t="s">
        <v>2782</v>
      </c>
      <c r="F230" s="101" t="s">
        <v>2865</v>
      </c>
      <c r="G230" s="41" t="s">
        <v>29</v>
      </c>
      <c r="H230" s="41">
        <v>9</v>
      </c>
      <c r="I230" s="117">
        <f t="shared" si="102"/>
        <v>0.03</v>
      </c>
      <c r="J230" s="117">
        <f t="shared" si="98"/>
        <v>0.27</v>
      </c>
      <c r="K230" s="52"/>
      <c r="L230" s="53">
        <f t="shared" si="99"/>
        <v>1</v>
      </c>
      <c r="M230" s="69">
        <f t="shared" si="100"/>
        <v>300</v>
      </c>
      <c r="N230" s="55">
        <v>1</v>
      </c>
      <c r="O230" s="337">
        <v>300</v>
      </c>
      <c r="P230" s="57" t="str">
        <f t="shared" si="101"/>
        <v>值</v>
      </c>
      <c r="Q230" s="23"/>
      <c r="R230" s="23"/>
    </row>
    <row r="231" spans="1:18" ht="16.5" customHeight="1" x14ac:dyDescent="0.2">
      <c r="A231" s="363">
        <f>COUNTIF(L$1:L231,"!")</f>
        <v>17</v>
      </c>
      <c r="B231" s="364" t="str">
        <f>A231&amp;"."&amp;COUNTIF(A$3:A231,A231)-1</f>
        <v>17.4</v>
      </c>
      <c r="C231" s="100" t="s">
        <v>160</v>
      </c>
      <c r="D231" s="41" t="s">
        <v>161</v>
      </c>
      <c r="E231" s="101" t="s">
        <v>2792</v>
      </c>
      <c r="F231" s="101" t="s">
        <v>2866</v>
      </c>
      <c r="G231" s="41" t="s">
        <v>48</v>
      </c>
      <c r="H231" s="41">
        <v>3</v>
      </c>
      <c r="I231" s="117">
        <f t="shared" si="102"/>
        <v>1.4999999999999999E-2</v>
      </c>
      <c r="J231" s="117">
        <f t="shared" si="98"/>
        <v>4.4999999999999998E-2</v>
      </c>
      <c r="K231" s="52"/>
      <c r="L231" s="53">
        <f t="shared" si="99"/>
        <v>1</v>
      </c>
      <c r="M231" s="69">
        <f t="shared" si="100"/>
        <v>150</v>
      </c>
      <c r="N231" s="55">
        <v>1</v>
      </c>
      <c r="O231" s="337">
        <v>150</v>
      </c>
      <c r="P231" s="57" t="str">
        <f t="shared" si="101"/>
        <v>值</v>
      </c>
      <c r="Q231" s="23"/>
      <c r="R231" s="23"/>
    </row>
    <row r="232" spans="1:18" ht="16.5" customHeight="1" x14ac:dyDescent="0.2">
      <c r="A232" s="363">
        <f>COUNTIF(L$1:L232,"!")</f>
        <v>17</v>
      </c>
      <c r="B232" s="364" t="str">
        <f>A232&amp;"."&amp;COUNTIF(A$3:A232,A232)-1</f>
        <v>17.5</v>
      </c>
      <c r="C232" s="100" t="s">
        <v>2787</v>
      </c>
      <c r="D232" s="41" t="s">
        <v>2788</v>
      </c>
      <c r="E232" s="101" t="s">
        <v>2792</v>
      </c>
      <c r="F232" s="101" t="s">
        <v>2867</v>
      </c>
      <c r="G232" s="41" t="s">
        <v>134</v>
      </c>
      <c r="H232" s="41">
        <v>3</v>
      </c>
      <c r="I232" s="117">
        <f t="shared" si="102"/>
        <v>0.05</v>
      </c>
      <c r="J232" s="117">
        <f t="shared" si="98"/>
        <v>0.15000000000000002</v>
      </c>
      <c r="K232" s="52"/>
      <c r="L232" s="53">
        <f t="shared" si="99"/>
        <v>1</v>
      </c>
      <c r="M232" s="69">
        <f t="shared" si="100"/>
        <v>500</v>
      </c>
      <c r="N232" s="55">
        <v>1</v>
      </c>
      <c r="O232" s="337">
        <v>500</v>
      </c>
      <c r="P232" s="57" t="str">
        <f t="shared" si="101"/>
        <v>值</v>
      </c>
      <c r="Q232" s="23"/>
      <c r="R232" s="23"/>
    </row>
    <row r="233" spans="1:18" ht="16.5" customHeight="1" x14ac:dyDescent="0.2">
      <c r="A233" s="363">
        <f>COUNTIF(L$1:L233,"!")</f>
        <v>17</v>
      </c>
      <c r="B233" s="364" t="str">
        <f>A233&amp;"."&amp;COUNTIF(A$3:A233,A233)-1</f>
        <v>17.6</v>
      </c>
      <c r="C233" s="100" t="s">
        <v>162</v>
      </c>
      <c r="D233" s="41" t="s">
        <v>2791</v>
      </c>
      <c r="E233" s="101" t="s">
        <v>2792</v>
      </c>
      <c r="F233" s="101" t="s">
        <v>2867</v>
      </c>
      <c r="G233" s="41" t="s">
        <v>134</v>
      </c>
      <c r="H233" s="41">
        <v>3</v>
      </c>
      <c r="I233" s="117">
        <f t="shared" si="102"/>
        <v>7.7499999999999999E-2</v>
      </c>
      <c r="J233" s="117">
        <f t="shared" si="98"/>
        <v>0.23249999999999998</v>
      </c>
      <c r="K233" s="52"/>
      <c r="L233" s="53">
        <f t="shared" si="99"/>
        <v>1</v>
      </c>
      <c r="M233" s="69">
        <f t="shared" si="100"/>
        <v>775</v>
      </c>
      <c r="N233" s="55">
        <v>1</v>
      </c>
      <c r="O233" s="337">
        <v>775</v>
      </c>
      <c r="P233" s="57" t="str">
        <f t="shared" si="101"/>
        <v>值</v>
      </c>
      <c r="Q233" s="23"/>
      <c r="R233" s="23"/>
    </row>
    <row r="234" spans="1:18" ht="16.5" customHeight="1" x14ac:dyDescent="0.2">
      <c r="A234" s="363">
        <f>COUNTIF(L$1:L234,"!")</f>
        <v>17</v>
      </c>
      <c r="B234" s="364" t="str">
        <f>A234&amp;"."&amp;COUNTIF(A$3:A234,A234)-1</f>
        <v>17.7</v>
      </c>
      <c r="C234" s="100" t="s">
        <v>2793</v>
      </c>
      <c r="D234" s="102" t="s">
        <v>2794</v>
      </c>
      <c r="E234" s="101" t="s">
        <v>2792</v>
      </c>
      <c r="F234" s="101" t="s">
        <v>2867</v>
      </c>
      <c r="G234" s="41" t="s">
        <v>134</v>
      </c>
      <c r="H234" s="41">
        <v>3</v>
      </c>
      <c r="I234" s="117">
        <f t="shared" si="102"/>
        <v>2.5000000000000001E-2</v>
      </c>
      <c r="J234" s="117">
        <f t="shared" si="98"/>
        <v>7.5000000000000011E-2</v>
      </c>
      <c r="K234" s="52"/>
      <c r="L234" s="53">
        <f t="shared" si="99"/>
        <v>1</v>
      </c>
      <c r="M234" s="69">
        <f t="shared" si="100"/>
        <v>250</v>
      </c>
      <c r="N234" s="55">
        <v>1</v>
      </c>
      <c r="O234" s="337">
        <v>250</v>
      </c>
      <c r="P234" s="57" t="str">
        <f t="shared" si="101"/>
        <v>值</v>
      </c>
      <c r="Q234" s="23"/>
      <c r="R234" s="23"/>
    </row>
    <row r="235" spans="1:18" ht="16.5" customHeight="1" x14ac:dyDescent="0.2">
      <c r="A235" s="363">
        <f>COUNTIF(L$1:L235,"!")</f>
        <v>17</v>
      </c>
      <c r="B235" s="364" t="str">
        <f>A235&amp;"."&amp;COUNTIF(A$3:A235,A235)-1</f>
        <v>17.8</v>
      </c>
      <c r="C235" s="100" t="s">
        <v>2802</v>
      </c>
      <c r="D235" s="41" t="s">
        <v>2803</v>
      </c>
      <c r="E235" s="101" t="s">
        <v>2792</v>
      </c>
      <c r="F235" s="101" t="s">
        <v>2869</v>
      </c>
      <c r="G235" s="41" t="s">
        <v>48</v>
      </c>
      <c r="H235" s="41">
        <v>3</v>
      </c>
      <c r="I235" s="117">
        <f t="shared" si="102"/>
        <v>1.2500000000000001E-2</v>
      </c>
      <c r="J235" s="117">
        <f t="shared" si="98"/>
        <v>3.7500000000000006E-2</v>
      </c>
      <c r="K235" s="52"/>
      <c r="L235" s="53">
        <f t="shared" si="99"/>
        <v>1</v>
      </c>
      <c r="M235" s="69">
        <f t="shared" si="100"/>
        <v>125</v>
      </c>
      <c r="N235" s="55">
        <v>1</v>
      </c>
      <c r="O235" s="337">
        <v>125</v>
      </c>
      <c r="P235" s="57" t="str">
        <f t="shared" si="101"/>
        <v>值</v>
      </c>
      <c r="Q235" s="23"/>
      <c r="R235" s="23"/>
    </row>
    <row r="236" spans="1:18" ht="16.5" customHeight="1" x14ac:dyDescent="0.2">
      <c r="A236" s="363">
        <f>COUNTIF(L$1:L236,"!")</f>
        <v>17</v>
      </c>
      <c r="B236" s="364" t="str">
        <f>A236&amp;"."&amp;COUNTIF(A$3:A236,A236)-1</f>
        <v>17.9</v>
      </c>
      <c r="C236" s="100" t="s">
        <v>2799</v>
      </c>
      <c r="D236" s="41"/>
      <c r="E236" s="101" t="s">
        <v>2910</v>
      </c>
      <c r="F236" s="101" t="s">
        <v>2911</v>
      </c>
      <c r="G236" s="41" t="s">
        <v>29</v>
      </c>
      <c r="H236" s="41">
        <v>1</v>
      </c>
      <c r="I236" s="117">
        <f t="shared" si="102"/>
        <v>0.06</v>
      </c>
      <c r="J236" s="117">
        <f t="shared" si="98"/>
        <v>0.06</v>
      </c>
      <c r="K236" s="52"/>
      <c r="L236" s="53">
        <f t="shared" si="99"/>
        <v>1</v>
      </c>
      <c r="M236" s="69">
        <f t="shared" si="100"/>
        <v>600</v>
      </c>
      <c r="N236" s="55">
        <v>1</v>
      </c>
      <c r="O236" s="337">
        <v>600</v>
      </c>
      <c r="P236" s="57" t="str">
        <f t="shared" si="101"/>
        <v>值</v>
      </c>
      <c r="Q236" s="23"/>
      <c r="R236" s="23"/>
    </row>
    <row r="237" spans="1:18" ht="16.5" customHeight="1" x14ac:dyDescent="0.2">
      <c r="A237" s="363">
        <f>COUNTIF(L$1:L237,"!")</f>
        <v>17</v>
      </c>
      <c r="B237" s="364" t="str">
        <f>A237&amp;"."&amp;COUNTIF(A$3:A237,A237)-1</f>
        <v>17.10</v>
      </c>
      <c r="C237" s="100" t="s">
        <v>97</v>
      </c>
      <c r="D237" s="102"/>
      <c r="E237" s="101" t="s">
        <v>2792</v>
      </c>
      <c r="F237" s="101" t="s">
        <v>2869</v>
      </c>
      <c r="G237" s="41" t="s">
        <v>2806</v>
      </c>
      <c r="H237" s="41">
        <v>1</v>
      </c>
      <c r="I237" s="117">
        <f t="shared" si="102"/>
        <v>6.3E-3</v>
      </c>
      <c r="J237" s="117">
        <f t="shared" si="98"/>
        <v>6.3E-3</v>
      </c>
      <c r="K237" s="52"/>
      <c r="L237" s="53">
        <f t="shared" si="99"/>
        <v>1</v>
      </c>
      <c r="M237" s="69">
        <f t="shared" si="100"/>
        <v>63</v>
      </c>
      <c r="N237" s="55">
        <v>1</v>
      </c>
      <c r="O237" s="337">
        <v>63</v>
      </c>
      <c r="P237" s="57" t="str">
        <f t="shared" si="101"/>
        <v>值</v>
      </c>
      <c r="Q237" s="23"/>
      <c r="R237" s="23"/>
    </row>
    <row r="238" spans="1:18" ht="16.5" customHeight="1" x14ac:dyDescent="0.2">
      <c r="A238" s="363">
        <f>COUNTIF(L$1:L238,"!")</f>
        <v>17</v>
      </c>
      <c r="B238" s="364" t="str">
        <f>A238&amp;"."&amp;COUNTIF(A$3:A238,A238)-1</f>
        <v>17.11</v>
      </c>
      <c r="C238" s="100" t="s">
        <v>51</v>
      </c>
      <c r="D238" s="41"/>
      <c r="E238" s="101"/>
      <c r="F238" s="101"/>
      <c r="G238" s="41" t="s">
        <v>2871</v>
      </c>
      <c r="H238" s="41">
        <v>1</v>
      </c>
      <c r="I238" s="117">
        <f t="shared" si="102"/>
        <v>0.01</v>
      </c>
      <c r="J238" s="117">
        <f t="shared" si="98"/>
        <v>0.01</v>
      </c>
      <c r="K238" s="52"/>
      <c r="L238" s="53">
        <f t="shared" si="99"/>
        <v>1</v>
      </c>
      <c r="M238" s="69">
        <f t="shared" si="100"/>
        <v>100</v>
      </c>
      <c r="N238" s="55">
        <v>1</v>
      </c>
      <c r="O238" s="337">
        <v>100</v>
      </c>
      <c r="P238" s="57" t="str">
        <f t="shared" si="101"/>
        <v>值</v>
      </c>
      <c r="Q238" s="23"/>
      <c r="R238" s="23"/>
    </row>
    <row r="239" spans="1:18" ht="27" customHeight="1" x14ac:dyDescent="0.2">
      <c r="A239" s="363">
        <f>COUNTIF(L$1:L239,"!")</f>
        <v>17</v>
      </c>
      <c r="B239" s="364" t="str">
        <f>A239&amp;"."&amp;COUNTIF(A$3:A239,A239)-1</f>
        <v>17.12</v>
      </c>
      <c r="C239" s="103" t="s">
        <v>53</v>
      </c>
      <c r="D239" s="104"/>
      <c r="E239" s="365"/>
      <c r="F239" s="101"/>
      <c r="G239" s="104"/>
      <c r="H239" s="104" t="s">
        <v>1</v>
      </c>
      <c r="I239" s="118" t="s">
        <v>52</v>
      </c>
      <c r="J239" s="366"/>
      <c r="K239" s="104"/>
      <c r="L239" s="53"/>
      <c r="M239" s="119"/>
      <c r="N239" s="70"/>
      <c r="O239" s="337"/>
      <c r="P239" s="23"/>
      <c r="Q239" s="23"/>
      <c r="R239" s="23"/>
    </row>
    <row r="240" spans="1:18" ht="27" customHeight="1" x14ac:dyDescent="0.2">
      <c r="A240" s="363">
        <f>COUNTIF(L$1:L240,"!")</f>
        <v>17</v>
      </c>
      <c r="B240" s="364" t="str">
        <f>A240&amp;"."&amp;COUNTIF(A$3:A240,A240)-1</f>
        <v>17.13</v>
      </c>
      <c r="C240" s="103" t="s">
        <v>54</v>
      </c>
      <c r="D240" s="104"/>
      <c r="E240" s="365"/>
      <c r="F240" s="101"/>
      <c r="G240" s="104"/>
      <c r="H240" s="104"/>
      <c r="I240" s="118" t="s">
        <v>1</v>
      </c>
      <c r="J240" s="120">
        <f>SUM(J228:J239)</f>
        <v>2.7988999999999997</v>
      </c>
      <c r="K240" s="104"/>
      <c r="L240" s="53"/>
      <c r="M240" s="119"/>
      <c r="N240" s="70"/>
      <c r="O240" s="337"/>
      <c r="P240" s="30"/>
      <c r="Q240" s="90"/>
      <c r="R240" s="30"/>
    </row>
    <row r="241" spans="1:18" ht="16.5" customHeight="1" x14ac:dyDescent="0.15">
      <c r="A241" s="97">
        <f>COUNTIF(L$1:L241,"!")</f>
        <v>18</v>
      </c>
      <c r="B241" s="32" t="str">
        <f>COUNTIF(L$2:L242,"!")&amp;"."</f>
        <v>18.</v>
      </c>
      <c r="C241" s="47" t="str">
        <f>C242</f>
        <v>变压器</v>
      </c>
      <c r="D241" s="35" t="str">
        <f>D242</f>
        <v>S13-M-500KVA 全铜</v>
      </c>
      <c r="E241" s="99" t="str">
        <f>E242</f>
        <v>浙江</v>
      </c>
      <c r="F241" s="99" t="str">
        <f>F242</f>
        <v>弘乐电气有限公司</v>
      </c>
      <c r="G241" s="34" t="s">
        <v>23</v>
      </c>
      <c r="H241" s="98">
        <v>1</v>
      </c>
      <c r="I241" s="115">
        <f>LOOKUP(0,0/((A241:A320=A241)*(C241:C320="合计金额（单位完整货物单价）")),J241:J320)</f>
        <v>4.7250000000000005</v>
      </c>
      <c r="J241" s="116">
        <f>IFERROR(I241*H241,"")</f>
        <v>4.7250000000000005</v>
      </c>
      <c r="K241" s="34"/>
      <c r="L241" s="48" t="s">
        <v>24</v>
      </c>
      <c r="M241" s="49"/>
      <c r="N241" s="50"/>
      <c r="O241" s="362"/>
      <c r="P241" s="23"/>
      <c r="Q241" s="360">
        <f>COUNTIF(L$3:L241,"#")</f>
        <v>3</v>
      </c>
      <c r="R241" s="23"/>
    </row>
    <row r="242" spans="1:18" ht="16.5" customHeight="1" x14ac:dyDescent="0.2">
      <c r="A242" s="363">
        <f>COUNTIF(L$1:L242,"!")</f>
        <v>18</v>
      </c>
      <c r="B242" s="364" t="str">
        <f>A242&amp;"."&amp;COUNTIF(A$3:A242,A242)-1</f>
        <v>18.1</v>
      </c>
      <c r="C242" s="100" t="str">
        <f>IFERROR(VLOOKUP(D242,元件库!$B:$O,3,FALSE),"")</f>
        <v>变压器</v>
      </c>
      <c r="D242" s="41" t="s">
        <v>2912</v>
      </c>
      <c r="E242" s="101" t="s">
        <v>22</v>
      </c>
      <c r="F242" s="101" t="s">
        <v>2814</v>
      </c>
      <c r="G242" s="41" t="s">
        <v>23</v>
      </c>
      <c r="H242" s="41">
        <v>1</v>
      </c>
      <c r="I242" s="117">
        <f>IFERROR(ROUND(L242*M242/10000,4),"")</f>
        <v>4.6500000000000004</v>
      </c>
      <c r="J242" s="117">
        <f t="shared" ref="J242:J243" si="103">IFERROR(I242*H242,"")</f>
        <v>4.6500000000000004</v>
      </c>
      <c r="K242" s="52"/>
      <c r="L242" s="53">
        <f t="shared" ref="L242:L243" si="104">L$2</f>
        <v>1</v>
      </c>
      <c r="M242" s="69">
        <f t="shared" ref="M242:M243" si="105">IFERROR(O242*N242,"")</f>
        <v>46500</v>
      </c>
      <c r="N242" s="55">
        <f>IFERROR(VLOOKUP(D242,元件库!$B:$O,10,FALSE),"1.00")</f>
        <v>1</v>
      </c>
      <c r="O242" s="337">
        <f>IFERROR(VLOOKUP(D242,元件库!$B:$O,11,FALSE),"")</f>
        <v>46500</v>
      </c>
      <c r="P242" s="57" t="str">
        <f t="shared" ref="P242:P243" si="106">IF(_xlfn.ISFORMULA(O242),"","值")</f>
        <v/>
      </c>
      <c r="Q242" s="90"/>
      <c r="R242" s="23"/>
    </row>
    <row r="243" spans="1:18" ht="16.5" customHeight="1" x14ac:dyDescent="0.2">
      <c r="A243" s="363">
        <f>COUNTIF(L$1:L243,"!")</f>
        <v>18</v>
      </c>
      <c r="B243" s="364" t="str">
        <f>A243&amp;"."&amp;COUNTIF(A$3:A243,A243)-1</f>
        <v>18.2</v>
      </c>
      <c r="C243" s="100" t="s">
        <v>51</v>
      </c>
      <c r="D243" s="41"/>
      <c r="E243" s="101"/>
      <c r="F243" s="101"/>
      <c r="G243" s="41" t="s">
        <v>2871</v>
      </c>
      <c r="H243" s="41">
        <v>1</v>
      </c>
      <c r="I243" s="117">
        <f t="shared" ref="I243" si="107">IFERROR(ROUND(L243*M243/10000,4),"")</f>
        <v>7.4999999999999997E-2</v>
      </c>
      <c r="J243" s="117">
        <f t="shared" si="103"/>
        <v>7.4999999999999997E-2</v>
      </c>
      <c r="K243" s="52"/>
      <c r="L243" s="53">
        <f t="shared" si="104"/>
        <v>1</v>
      </c>
      <c r="M243" s="69">
        <f t="shared" si="105"/>
        <v>750</v>
      </c>
      <c r="N243" s="55">
        <v>1</v>
      </c>
      <c r="O243" s="337">
        <v>750</v>
      </c>
      <c r="P243" s="57" t="str">
        <f t="shared" si="106"/>
        <v>值</v>
      </c>
      <c r="Q243" s="23"/>
      <c r="R243" s="23"/>
    </row>
    <row r="244" spans="1:18" ht="27" customHeight="1" x14ac:dyDescent="0.2">
      <c r="A244" s="363">
        <f>COUNTIF(L$1:L244,"!")</f>
        <v>18</v>
      </c>
      <c r="B244" s="364" t="str">
        <f>A244&amp;"."&amp;COUNTIF(A$3:A244,A244)-1</f>
        <v>18.3</v>
      </c>
      <c r="C244" s="103" t="s">
        <v>53</v>
      </c>
      <c r="D244" s="104"/>
      <c r="E244" s="365"/>
      <c r="F244" s="101"/>
      <c r="G244" s="104"/>
      <c r="H244" s="104" t="s">
        <v>1</v>
      </c>
      <c r="I244" s="118" t="s">
        <v>52</v>
      </c>
      <c r="J244" s="366"/>
      <c r="K244" s="104"/>
      <c r="L244" s="53"/>
      <c r="M244" s="119"/>
      <c r="N244" s="70"/>
      <c r="O244" s="337"/>
      <c r="P244" s="23"/>
      <c r="Q244" s="23"/>
      <c r="R244" s="23"/>
    </row>
    <row r="245" spans="1:18" ht="27" customHeight="1" x14ac:dyDescent="0.2">
      <c r="A245" s="363">
        <f>COUNTIF(L$1:L245,"!")</f>
        <v>18</v>
      </c>
      <c r="B245" s="364" t="str">
        <f>A245&amp;"."&amp;COUNTIF(A$3:A245,A245)-1</f>
        <v>18.4</v>
      </c>
      <c r="C245" s="103" t="s">
        <v>54</v>
      </c>
      <c r="D245" s="104"/>
      <c r="E245" s="365"/>
      <c r="F245" s="101"/>
      <c r="G245" s="104"/>
      <c r="H245" s="104"/>
      <c r="I245" s="118" t="s">
        <v>1</v>
      </c>
      <c r="J245" s="120">
        <f>SUM(J242:J244)</f>
        <v>4.7250000000000005</v>
      </c>
      <c r="K245" s="104"/>
      <c r="L245" s="53"/>
      <c r="M245" s="119"/>
      <c r="N245" s="70"/>
      <c r="O245" s="337"/>
      <c r="P245" s="30"/>
      <c r="Q245" s="90"/>
      <c r="R245" s="30"/>
    </row>
    <row r="246" spans="1:18" ht="16.5" customHeight="1" x14ac:dyDescent="0.15">
      <c r="A246" s="97">
        <f>COUNTIF(L$1:L246,"!")</f>
        <v>19</v>
      </c>
      <c r="B246" s="32" t="str">
        <f>COUNTIF(L$2:L247,"!")&amp;"."</f>
        <v>19.</v>
      </c>
      <c r="C246" s="47" t="s">
        <v>2913</v>
      </c>
      <c r="D246" s="35"/>
      <c r="E246" s="367" t="s">
        <v>37</v>
      </c>
      <c r="F246" s="367" t="s">
        <v>38</v>
      </c>
      <c r="G246" s="34" t="s">
        <v>23</v>
      </c>
      <c r="H246" s="98">
        <v>1</v>
      </c>
      <c r="I246" s="115">
        <f>LOOKUP(0,0/((A246:A334=A246)*(C246:C334="合计金额（单位完整货物单价）")),J246:J334)</f>
        <v>0.39400000000000002</v>
      </c>
      <c r="J246" s="116">
        <f>IFERROR(I246*H246,"")</f>
        <v>0.39400000000000002</v>
      </c>
      <c r="K246" s="34"/>
      <c r="L246" s="48" t="s">
        <v>24</v>
      </c>
      <c r="M246" s="49"/>
      <c r="N246" s="50"/>
      <c r="O246" s="362"/>
      <c r="P246" s="23"/>
      <c r="Q246" s="360">
        <f>COUNTIF(L$3:L246,"#")</f>
        <v>3</v>
      </c>
      <c r="R246" s="23"/>
    </row>
    <row r="247" spans="1:18" s="23" customFormat="1" ht="16.5" customHeight="1" x14ac:dyDescent="0.2">
      <c r="A247" s="363">
        <f>COUNTIF(L$1:L247,"!")</f>
        <v>19</v>
      </c>
      <c r="B247" s="364" t="str">
        <f>A247&amp;"."&amp;COUNTIF(A$3:A247,A247)-1</f>
        <v>19.1</v>
      </c>
      <c r="C247" s="100" t="str">
        <f>IFERROR(VLOOKUP(D247,元件库!$B:$O,3,FALSE),"")</f>
        <v>铜排</v>
      </c>
      <c r="D247" s="41" t="s">
        <v>2914</v>
      </c>
      <c r="E247" s="101" t="s">
        <v>2915</v>
      </c>
      <c r="F247" s="101" t="s">
        <v>2877</v>
      </c>
      <c r="G247" s="41" t="s">
        <v>39</v>
      </c>
      <c r="H247" s="41">
        <v>10</v>
      </c>
      <c r="I247" s="117">
        <f>IFERROR(ROUND(L247*M247/10000,4),"")</f>
        <v>2.4400000000000002E-2</v>
      </c>
      <c r="J247" s="117">
        <f>IFERROR(I247*H247,"")</f>
        <v>0.24400000000000002</v>
      </c>
      <c r="K247" s="52"/>
      <c r="L247" s="53">
        <f t="shared" ref="L247:L249" si="108">L$2</f>
        <v>1</v>
      </c>
      <c r="M247" s="69">
        <f>IFERROR(O247*N247,"")</f>
        <v>243.50399999999999</v>
      </c>
      <c r="N247" s="55">
        <f>IFERROR(VLOOKUP(D247,元件库!$B:$O,10,FALSE),"1.00")</f>
        <v>1</v>
      </c>
      <c r="O247" s="337">
        <f>IFERROR(VLOOKUP(D247,元件库!$B:$O,11,FALSE),"")</f>
        <v>243.50399999999999</v>
      </c>
      <c r="P247" s="57" t="str">
        <f>IF(_xlfn.ISFORMULA(O247),"","值")</f>
        <v/>
      </c>
    </row>
    <row r="248" spans="1:18" s="23" customFormat="1" ht="16.5" customHeight="1" x14ac:dyDescent="0.2">
      <c r="A248" s="363">
        <f>COUNTIF(L$1:L248,"!")</f>
        <v>19</v>
      </c>
      <c r="B248" s="364" t="str">
        <f>A248&amp;"."&amp;COUNTIF(A$3:A248,A248)-1</f>
        <v>19.2</v>
      </c>
      <c r="C248" s="100" t="s">
        <v>2819</v>
      </c>
      <c r="D248" s="41" t="s">
        <v>2878</v>
      </c>
      <c r="E248" s="101" t="s">
        <v>2879</v>
      </c>
      <c r="F248" s="101" t="s">
        <v>2880</v>
      </c>
      <c r="G248" s="41" t="s">
        <v>2881</v>
      </c>
      <c r="H248" s="41">
        <v>1</v>
      </c>
      <c r="I248" s="117">
        <f>IFERROR(ROUND(L248*M248/10000,4),"")</f>
        <v>0.15</v>
      </c>
      <c r="J248" s="117">
        <f>IFERROR(I248*H248,"")</f>
        <v>0.15</v>
      </c>
      <c r="K248" s="52"/>
      <c r="L248" s="53">
        <f t="shared" si="108"/>
        <v>1</v>
      </c>
      <c r="M248" s="69">
        <f>IFERROR(O248*N248,"")</f>
        <v>1500</v>
      </c>
      <c r="N248" s="55" t="str">
        <f>IFERROR(VLOOKUP(D248,元件库!$B:$O,10,FALSE),"1.00")</f>
        <v>1.00</v>
      </c>
      <c r="O248" s="337">
        <v>1500</v>
      </c>
      <c r="P248" s="57" t="str">
        <f>IF(_xlfn.ISFORMULA(O248),"","值")</f>
        <v>值</v>
      </c>
    </row>
    <row r="249" spans="1:18" ht="16.5" customHeight="1" x14ac:dyDescent="0.2">
      <c r="A249" s="363">
        <f>COUNTIF(L$1:L249,"!")</f>
        <v>19</v>
      </c>
      <c r="B249" s="364" t="str">
        <f>A249&amp;"."&amp;COUNTIF(A$3:A249,A249)-1</f>
        <v>19.3</v>
      </c>
      <c r="C249" s="100" t="s">
        <v>51</v>
      </c>
      <c r="D249" s="41"/>
      <c r="E249" s="101"/>
      <c r="F249" s="101"/>
      <c r="G249" s="41"/>
      <c r="H249" s="41"/>
      <c r="I249" s="118" t="s">
        <v>52</v>
      </c>
      <c r="J249" s="117" t="str">
        <f t="shared" ref="J249" si="109">IFERROR(I249*H249,"")</f>
        <v/>
      </c>
      <c r="K249" s="52"/>
      <c r="L249" s="53">
        <f t="shared" si="108"/>
        <v>1</v>
      </c>
      <c r="M249" s="69">
        <f t="shared" ref="M249" si="110">IFERROR(O249*N249,"")</f>
        <v>750</v>
      </c>
      <c r="N249" s="55">
        <v>1</v>
      </c>
      <c r="O249" s="337">
        <v>750</v>
      </c>
      <c r="P249" s="57" t="str">
        <f t="shared" ref="P249" si="111">IF(_xlfn.ISFORMULA(O249),"","值")</f>
        <v>值</v>
      </c>
      <c r="Q249" s="23"/>
      <c r="R249" s="23"/>
    </row>
    <row r="250" spans="1:18" ht="27" customHeight="1" x14ac:dyDescent="0.2">
      <c r="A250" s="363">
        <f>COUNTIF(L$1:L250,"!")</f>
        <v>19</v>
      </c>
      <c r="B250" s="364" t="str">
        <f>A250&amp;"."&amp;COUNTIF(A$3:A250,A250)-1</f>
        <v>19.4</v>
      </c>
      <c r="C250" s="103" t="s">
        <v>53</v>
      </c>
      <c r="D250" s="104"/>
      <c r="E250" s="365"/>
      <c r="F250" s="101"/>
      <c r="G250" s="104"/>
      <c r="H250" s="104" t="s">
        <v>1</v>
      </c>
      <c r="I250" s="118" t="s">
        <v>52</v>
      </c>
      <c r="J250" s="366"/>
      <c r="K250" s="104"/>
      <c r="L250" s="53"/>
      <c r="M250" s="119"/>
      <c r="N250" s="70"/>
      <c r="O250" s="337"/>
      <c r="P250" s="23"/>
      <c r="Q250" s="23"/>
      <c r="R250" s="23"/>
    </row>
    <row r="251" spans="1:18" ht="27" customHeight="1" x14ac:dyDescent="0.2">
      <c r="A251" s="363">
        <f>COUNTIF(L$1:L251,"!")</f>
        <v>19</v>
      </c>
      <c r="B251" s="364" t="str">
        <f>A251&amp;"."&amp;COUNTIF(A$3:A251,A251)-1</f>
        <v>19.5</v>
      </c>
      <c r="C251" s="103" t="s">
        <v>54</v>
      </c>
      <c r="D251" s="104"/>
      <c r="E251" s="365"/>
      <c r="F251" s="101"/>
      <c r="G251" s="104"/>
      <c r="H251" s="104"/>
      <c r="I251" s="118" t="s">
        <v>1</v>
      </c>
      <c r="J251" s="120">
        <f>SUM(J247:J250)</f>
        <v>0.39400000000000002</v>
      </c>
      <c r="K251" s="104"/>
      <c r="L251" s="53"/>
      <c r="M251" s="119"/>
      <c r="N251" s="70"/>
      <c r="O251" s="337"/>
      <c r="P251" s="30"/>
      <c r="Q251" s="90"/>
      <c r="R251" s="30"/>
    </row>
    <row r="252" spans="1:18" s="23" customFormat="1" ht="16.5" customHeight="1" x14ac:dyDescent="0.15">
      <c r="A252" s="97">
        <f>COUNTIF(L$1:L252,"!")</f>
        <v>20</v>
      </c>
      <c r="B252" s="32" t="str">
        <f>COUNTIF(L$2:L253,"!")&amp;"."</f>
        <v>20.</v>
      </c>
      <c r="C252" s="47" t="s">
        <v>2824</v>
      </c>
      <c r="D252" s="35" t="str">
        <f>D253</f>
        <v>GGD-800*600*2000</v>
      </c>
      <c r="E252" s="367" t="s">
        <v>22</v>
      </c>
      <c r="F252" s="367" t="s">
        <v>3261</v>
      </c>
      <c r="G252" s="34" t="s">
        <v>23</v>
      </c>
      <c r="H252" s="98">
        <v>1</v>
      </c>
      <c r="I252" s="115">
        <f>LOOKUP(0,0/((A252:A306=A252)*(C252:C306="合计金额（单位完整货物单价）")),J252:J306)</f>
        <v>1.1967399999999999</v>
      </c>
      <c r="J252" s="116">
        <f>IFERROR(I252*H252,"")</f>
        <v>1.1967399999999999</v>
      </c>
      <c r="K252" s="34"/>
      <c r="L252" s="48" t="s">
        <v>24</v>
      </c>
      <c r="M252" s="49"/>
      <c r="N252" s="50"/>
      <c r="O252" s="51"/>
      <c r="Q252" s="360">
        <f>COUNTIF(L$3:L252,"#")</f>
        <v>3</v>
      </c>
    </row>
    <row r="253" spans="1:18" s="23" customFormat="1" ht="16.5" customHeight="1" x14ac:dyDescent="0.2">
      <c r="A253" s="363">
        <f>COUNTIF(L$1:L253,"!")</f>
        <v>20</v>
      </c>
      <c r="B253" s="364" t="str">
        <f>A253&amp;"."&amp;COUNTIF(A$3:A253,A253)-1</f>
        <v>20.1</v>
      </c>
      <c r="C253" s="100" t="str">
        <f>IFERROR(VLOOKUP(D253,元件库!$B:$O,3,FALSE),"")</f>
        <v>壳体W*D*H</v>
      </c>
      <c r="D253" s="41" t="s">
        <v>181</v>
      </c>
      <c r="E253" s="101" t="s">
        <v>2916</v>
      </c>
      <c r="F253" s="101" t="s">
        <v>3261</v>
      </c>
      <c r="G253" s="41" t="s">
        <v>23</v>
      </c>
      <c r="H253" s="41">
        <v>1</v>
      </c>
      <c r="I253" s="117">
        <f>IFERROR(ROUND(L253*M253/10000,4),"")</f>
        <v>0.155</v>
      </c>
      <c r="J253" s="117">
        <f t="shared" ref="J253:J262" si="112">IFERROR(I253*H253,"")</f>
        <v>0.155</v>
      </c>
      <c r="K253" s="52"/>
      <c r="L253" s="53">
        <f t="shared" ref="L253:L270" si="113">L$2</f>
        <v>1</v>
      </c>
      <c r="M253" s="69">
        <f t="shared" ref="M253:M262" si="114">IFERROR(O253*N253,"")</f>
        <v>1550</v>
      </c>
      <c r="N253" s="55">
        <f>IFERROR(VLOOKUP(D253,元件库!$B:$O,10,FALSE),"1.00")</f>
        <v>1</v>
      </c>
      <c r="O253" s="337">
        <f>IFERROR(VLOOKUP(D253,元件库!$B:$O,11,FALSE),"")</f>
        <v>1550</v>
      </c>
      <c r="P253" s="57" t="str">
        <f t="shared" ref="P253:P262" si="115">IF(_xlfn.ISFORMULA(O253),"","值")</f>
        <v/>
      </c>
      <c r="Q253" s="90"/>
    </row>
    <row r="254" spans="1:18" s="23" customFormat="1" ht="16.5" customHeight="1" x14ac:dyDescent="0.2">
      <c r="A254" s="363">
        <f>COUNTIF(L$1:L254,"!")</f>
        <v>20</v>
      </c>
      <c r="B254" s="364" t="str">
        <f>A254&amp;"."&amp;COUNTIF(A$3:A254,A254)-1</f>
        <v>20.2</v>
      </c>
      <c r="C254" s="100" t="str">
        <f>IFERROR(VLOOKUP(D254,元件库!$B:$O,3,FALSE),"")</f>
        <v>封板</v>
      </c>
      <c r="D254" s="41" t="s">
        <v>2917</v>
      </c>
      <c r="E254" s="101" t="s">
        <v>2879</v>
      </c>
      <c r="F254" s="101" t="s">
        <v>3261</v>
      </c>
      <c r="G254" s="41" t="s">
        <v>23</v>
      </c>
      <c r="H254" s="41">
        <v>2</v>
      </c>
      <c r="I254" s="117">
        <f>IFERROR(ROUND(L254*M254/10000,4),"")</f>
        <v>1.7999999999999999E-2</v>
      </c>
      <c r="J254" s="117">
        <f t="shared" si="112"/>
        <v>3.5999999999999997E-2</v>
      </c>
      <c r="K254" s="52"/>
      <c r="L254" s="53">
        <f t="shared" si="113"/>
        <v>1</v>
      </c>
      <c r="M254" s="69">
        <f t="shared" si="114"/>
        <v>180</v>
      </c>
      <c r="N254" s="55">
        <f>IFERROR(VLOOKUP(D254,元件库!$B:$O,10,FALSE),"1.00")</f>
        <v>1</v>
      </c>
      <c r="O254" s="337">
        <f>IFERROR(VLOOKUP(D254,元件库!$B:$O,11,FALSE),"")</f>
        <v>180</v>
      </c>
      <c r="P254" s="57" t="str">
        <f t="shared" si="115"/>
        <v/>
      </c>
      <c r="Q254" s="90"/>
    </row>
    <row r="255" spans="1:18" s="23" customFormat="1" ht="16.5" customHeight="1" x14ac:dyDescent="0.2">
      <c r="A255" s="363">
        <f>COUNTIF(L$1:L255,"!")</f>
        <v>20</v>
      </c>
      <c r="B255" s="364" t="str">
        <f>A255&amp;"."&amp;COUNTIF(A$3:A255,A255)-1</f>
        <v>20.3</v>
      </c>
      <c r="C255" s="100" t="str">
        <f>IFERROR(VLOOKUP(D255,元件库!$B:$O,3,FALSE),"")</f>
        <v>刀开关</v>
      </c>
      <c r="D255" s="41" t="s">
        <v>2918</v>
      </c>
      <c r="E255" s="101" t="s">
        <v>2879</v>
      </c>
      <c r="F255" s="101" t="s">
        <v>32</v>
      </c>
      <c r="G255" s="41" t="s">
        <v>29</v>
      </c>
      <c r="H255" s="41">
        <v>1</v>
      </c>
      <c r="I255" s="117">
        <f t="shared" ref="I255:I262" si="116">IFERROR(ROUND(L255*M255/10000,4),"")</f>
        <v>5.7299999999999997E-2</v>
      </c>
      <c r="J255" s="117">
        <f t="shared" si="112"/>
        <v>5.7299999999999997E-2</v>
      </c>
      <c r="K255" s="52"/>
      <c r="L255" s="53">
        <f t="shared" si="113"/>
        <v>1</v>
      </c>
      <c r="M255" s="69">
        <f t="shared" si="114"/>
        <v>573.1</v>
      </c>
      <c r="N255" s="55">
        <f>IFERROR(VLOOKUP(D255,元件库!$B:$O,10,FALSE),"1.00")</f>
        <v>0.55000000000000004</v>
      </c>
      <c r="O255" s="337">
        <f>IFERROR(VLOOKUP(D255,元件库!$B:$O,11,FALSE),"")</f>
        <v>1042</v>
      </c>
      <c r="P255" s="57" t="str">
        <f t="shared" si="115"/>
        <v/>
      </c>
      <c r="Q255" s="90"/>
    </row>
    <row r="256" spans="1:18" s="23" customFormat="1" ht="16.5" customHeight="1" x14ac:dyDescent="0.2">
      <c r="A256" s="363">
        <f>COUNTIF(L$1:L256,"!")</f>
        <v>20</v>
      </c>
      <c r="B256" s="364" t="str">
        <f>A256&amp;"."&amp;COUNTIF(A$3:A256,A256)-1</f>
        <v>20.4</v>
      </c>
      <c r="C256" s="100" t="str">
        <f>IFERROR(VLOOKUP(D256,元件库!$B:$O,3,FALSE),"")</f>
        <v>框架断路器</v>
      </c>
      <c r="D256" s="41" t="s">
        <v>2919</v>
      </c>
      <c r="E256" s="101" t="s">
        <v>2879</v>
      </c>
      <c r="F256" s="101" t="s">
        <v>28</v>
      </c>
      <c r="G256" s="41" t="s">
        <v>29</v>
      </c>
      <c r="H256" s="41">
        <v>1</v>
      </c>
      <c r="I256" s="117">
        <f t="shared" si="116"/>
        <v>0.42</v>
      </c>
      <c r="J256" s="117">
        <f t="shared" si="112"/>
        <v>0.42</v>
      </c>
      <c r="K256" s="52"/>
      <c r="L256" s="53">
        <f t="shared" si="113"/>
        <v>1</v>
      </c>
      <c r="M256" s="69">
        <f t="shared" si="114"/>
        <v>4200</v>
      </c>
      <c r="N256" s="55">
        <f>IFERROR(VLOOKUP(D256,元件库!$B:$O,10,FALSE),"1.00")</f>
        <v>1</v>
      </c>
      <c r="O256" s="337">
        <f>IFERROR(VLOOKUP(D256,元件库!$B:$O,11,FALSE),"")</f>
        <v>4200</v>
      </c>
      <c r="P256" s="57" t="str">
        <f t="shared" si="115"/>
        <v/>
      </c>
      <c r="Q256" s="90"/>
    </row>
    <row r="257" spans="1:17" s="23" customFormat="1" ht="16.5" customHeight="1" x14ac:dyDescent="0.2">
      <c r="A257" s="363">
        <f>COUNTIF(L$1:L257,"!")</f>
        <v>20</v>
      </c>
      <c r="B257" s="364" t="str">
        <f>A257&amp;"."&amp;COUNTIF(A$3:A257,A257)-1</f>
        <v>20.5</v>
      </c>
      <c r="C257" s="100" t="str">
        <f>IFERROR(VLOOKUP(D257,元件库!$B:$O,3,FALSE),"")</f>
        <v/>
      </c>
      <c r="D257" s="41" t="s">
        <v>2674</v>
      </c>
      <c r="E257" s="101" t="s">
        <v>2879</v>
      </c>
      <c r="F257" s="101" t="s">
        <v>32</v>
      </c>
      <c r="G257" s="41" t="s">
        <v>29</v>
      </c>
      <c r="H257" s="41">
        <v>6</v>
      </c>
      <c r="I257" s="117" t="str">
        <f t="shared" si="116"/>
        <v/>
      </c>
      <c r="J257" s="117" t="str">
        <f t="shared" si="112"/>
        <v/>
      </c>
      <c r="K257" s="52"/>
      <c r="L257" s="53">
        <f t="shared" si="113"/>
        <v>1</v>
      </c>
      <c r="M257" s="69" t="str">
        <f t="shared" si="114"/>
        <v/>
      </c>
      <c r="N257" s="55" t="str">
        <f>IFERROR(VLOOKUP(D257,元件库!$B:$O,10,FALSE),"1.00")</f>
        <v>1.00</v>
      </c>
      <c r="O257" s="337" t="str">
        <f>IFERROR(VLOOKUP(D257,元件库!$B:$O,11,FALSE),"")</f>
        <v/>
      </c>
      <c r="P257" s="57" t="str">
        <f t="shared" si="115"/>
        <v/>
      </c>
    </row>
    <row r="258" spans="1:17" s="23" customFormat="1" ht="16.5" customHeight="1" x14ac:dyDescent="0.2">
      <c r="A258" s="363">
        <f>COUNTIF(L$1:L258,"!")</f>
        <v>20</v>
      </c>
      <c r="B258" s="364" t="str">
        <f>A258&amp;"."&amp;COUNTIF(A$3:A258,A258)-1</f>
        <v>20.6</v>
      </c>
      <c r="C258" s="100" t="str">
        <f>IFERROR(VLOOKUP(D258,元件库!$B:$O,3,FALSE),"")</f>
        <v>电流.电压表</v>
      </c>
      <c r="D258" s="41" t="s">
        <v>145</v>
      </c>
      <c r="E258" s="101" t="s">
        <v>2879</v>
      </c>
      <c r="F258" s="101" t="s">
        <v>32</v>
      </c>
      <c r="G258" s="41" t="s">
        <v>29</v>
      </c>
      <c r="H258" s="41">
        <v>3</v>
      </c>
      <c r="I258" s="117">
        <f t="shared" si="116"/>
        <v>1.4E-3</v>
      </c>
      <c r="J258" s="117">
        <f t="shared" si="112"/>
        <v>4.1999999999999997E-3</v>
      </c>
      <c r="K258" s="52"/>
      <c r="L258" s="53">
        <f t="shared" si="113"/>
        <v>1</v>
      </c>
      <c r="M258" s="69">
        <f t="shared" si="114"/>
        <v>13.750000000000002</v>
      </c>
      <c r="N258" s="55">
        <f>IFERROR(VLOOKUP(D258,元件库!$B:$O,10,FALSE),"1.00")</f>
        <v>0.55000000000000004</v>
      </c>
      <c r="O258" s="337">
        <f>IFERROR(VLOOKUP(D258,元件库!$B:$O,11,FALSE),"")</f>
        <v>25</v>
      </c>
      <c r="P258" s="57" t="str">
        <f t="shared" si="115"/>
        <v/>
      </c>
    </row>
    <row r="259" spans="1:17" s="23" customFormat="1" ht="16.5" customHeight="1" x14ac:dyDescent="0.2">
      <c r="A259" s="363">
        <f>COUNTIF(L$1:L259,"!")</f>
        <v>20</v>
      </c>
      <c r="B259" s="364" t="str">
        <f>A259&amp;"."&amp;COUNTIF(A$3:A259,A259)-1</f>
        <v>20.7</v>
      </c>
      <c r="C259" s="100" t="str">
        <f>IFERROR(VLOOKUP(D259,元件库!$B:$O,3,FALSE),"")</f>
        <v>电流.电压表</v>
      </c>
      <c r="D259" s="41" t="s">
        <v>150</v>
      </c>
      <c r="E259" s="101" t="s">
        <v>2883</v>
      </c>
      <c r="F259" s="101" t="s">
        <v>32</v>
      </c>
      <c r="G259" s="41" t="s">
        <v>29</v>
      </c>
      <c r="H259" s="41">
        <v>1</v>
      </c>
      <c r="I259" s="117">
        <f t="shared" si="116"/>
        <v>1.4E-3</v>
      </c>
      <c r="J259" s="117">
        <f t="shared" si="112"/>
        <v>1.4E-3</v>
      </c>
      <c r="K259" s="52"/>
      <c r="L259" s="53">
        <f t="shared" si="113"/>
        <v>1</v>
      </c>
      <c r="M259" s="69">
        <f t="shared" si="114"/>
        <v>13.750000000000002</v>
      </c>
      <c r="N259" s="55">
        <f>IFERROR(VLOOKUP(D259,元件库!$B:$O,10,FALSE),"1.00")</f>
        <v>0.55000000000000004</v>
      </c>
      <c r="O259" s="337">
        <f>IFERROR(VLOOKUP(D259,元件库!$B:$O,11,FALSE),"")</f>
        <v>25</v>
      </c>
      <c r="P259" s="57" t="str">
        <f t="shared" si="115"/>
        <v/>
      </c>
    </row>
    <row r="260" spans="1:17" s="23" customFormat="1" ht="16.5" customHeight="1" x14ac:dyDescent="0.2">
      <c r="A260" s="363">
        <f>COUNTIF(L$1:L260,"!")</f>
        <v>20</v>
      </c>
      <c r="B260" s="364" t="str">
        <f>A260&amp;"."&amp;COUNTIF(A$3:A260,A260)-1</f>
        <v>20.8</v>
      </c>
      <c r="C260" s="100" t="str">
        <f>IFERROR(VLOOKUP(D260,元件库!$B:$O,3,FALSE),"")</f>
        <v/>
      </c>
      <c r="D260" s="41" t="s">
        <v>2920</v>
      </c>
      <c r="E260" s="101" t="s">
        <v>2883</v>
      </c>
      <c r="F260" s="101" t="s">
        <v>32</v>
      </c>
      <c r="G260" s="41" t="s">
        <v>29</v>
      </c>
      <c r="H260" s="41">
        <v>1</v>
      </c>
      <c r="I260" s="117" t="str">
        <f t="shared" si="116"/>
        <v/>
      </c>
      <c r="J260" s="117" t="str">
        <f t="shared" si="112"/>
        <v/>
      </c>
      <c r="K260" s="52"/>
      <c r="L260" s="53">
        <f t="shared" si="113"/>
        <v>1</v>
      </c>
      <c r="M260" s="69" t="str">
        <f t="shared" si="114"/>
        <v/>
      </c>
      <c r="N260" s="55" t="str">
        <f>IFERROR(VLOOKUP(D260,元件库!$B:$O,10,FALSE),"1.00")</f>
        <v>1.00</v>
      </c>
      <c r="O260" s="337" t="str">
        <f>IFERROR(VLOOKUP(D260,元件库!$B:$O,11,FALSE),"")</f>
        <v/>
      </c>
      <c r="P260" s="57" t="str">
        <f t="shared" si="115"/>
        <v/>
      </c>
    </row>
    <row r="261" spans="1:17" s="23" customFormat="1" ht="16.5" customHeight="1" x14ac:dyDescent="0.2">
      <c r="A261" s="363">
        <f>COUNTIF(L$1:L261,"!")</f>
        <v>20</v>
      </c>
      <c r="B261" s="364" t="str">
        <f>A261&amp;"."&amp;COUNTIF(A$3:A261,A261)-1</f>
        <v>20.9</v>
      </c>
      <c r="C261" s="100" t="str">
        <f>IFERROR(VLOOKUP(D261,元件库!$B:$O,3,FALSE),"")</f>
        <v>浪涌保护器</v>
      </c>
      <c r="D261" s="41" t="s">
        <v>2921</v>
      </c>
      <c r="E261" s="101" t="s">
        <v>2883</v>
      </c>
      <c r="F261" s="101" t="s">
        <v>67</v>
      </c>
      <c r="G261" s="41" t="s">
        <v>29</v>
      </c>
      <c r="H261" s="41">
        <v>1</v>
      </c>
      <c r="I261" s="117">
        <f t="shared" si="116"/>
        <v>1.9E-2</v>
      </c>
      <c r="J261" s="117">
        <f t="shared" si="112"/>
        <v>1.9E-2</v>
      </c>
      <c r="K261" s="52"/>
      <c r="L261" s="53">
        <f t="shared" si="113"/>
        <v>1</v>
      </c>
      <c r="M261" s="69">
        <f t="shared" si="114"/>
        <v>190</v>
      </c>
      <c r="N261" s="55">
        <f>IFERROR(VLOOKUP(D261,元件库!$B:$O,10,FALSE),"1.00")</f>
        <v>1</v>
      </c>
      <c r="O261" s="337">
        <f>IFERROR(VLOOKUP(D261,元件库!$B:$O,11,FALSE),"")</f>
        <v>190</v>
      </c>
      <c r="P261" s="57" t="str">
        <f t="shared" si="115"/>
        <v/>
      </c>
    </row>
    <row r="262" spans="1:17" s="23" customFormat="1" ht="16.5" customHeight="1" x14ac:dyDescent="0.2">
      <c r="A262" s="363">
        <f>COUNTIF(L$1:L262,"!")</f>
        <v>20</v>
      </c>
      <c r="B262" s="364" t="str">
        <f>A262&amp;"."&amp;COUNTIF(A$3:A262,A262)-1</f>
        <v>20.10</v>
      </c>
      <c r="C262" s="100" t="str">
        <f>IFERROR(VLOOKUP(D262,元件库!$B:$O,3,FALSE),"")</f>
        <v/>
      </c>
      <c r="D262" s="41" t="s">
        <v>75</v>
      </c>
      <c r="E262" s="101" t="s">
        <v>2883</v>
      </c>
      <c r="F262" s="101" t="s">
        <v>32</v>
      </c>
      <c r="G262" s="41" t="s">
        <v>29</v>
      </c>
      <c r="H262" s="41">
        <v>4</v>
      </c>
      <c r="I262" s="117" t="str">
        <f t="shared" si="116"/>
        <v/>
      </c>
      <c r="J262" s="117" t="str">
        <f t="shared" si="112"/>
        <v/>
      </c>
      <c r="K262" s="52"/>
      <c r="L262" s="53">
        <f t="shared" si="113"/>
        <v>1</v>
      </c>
      <c r="M262" s="69" t="str">
        <f t="shared" si="114"/>
        <v/>
      </c>
      <c r="N262" s="55" t="str">
        <f>IFERROR(VLOOKUP(D262,元件库!$B:$O,10,FALSE),"1.00")</f>
        <v>1.00</v>
      </c>
      <c r="O262" s="337" t="str">
        <f>IFERROR(VLOOKUP(D262,元件库!$B:$O,11,FALSE),"")</f>
        <v/>
      </c>
      <c r="P262" s="57" t="str">
        <f t="shared" si="115"/>
        <v/>
      </c>
    </row>
    <row r="263" spans="1:17" s="23" customFormat="1" ht="16.5" customHeight="1" x14ac:dyDescent="0.2">
      <c r="A263" s="363">
        <f>COUNTIF(L$1:L263,"!")</f>
        <v>20</v>
      </c>
      <c r="B263" s="364" t="str">
        <f>A263&amp;"."&amp;COUNTIF(A$3:A263,A263)-1</f>
        <v>20.11</v>
      </c>
      <c r="C263" s="100" t="str">
        <f>IFERROR(VLOOKUP(D263,元件库!$B:$O,3,FALSE),"")</f>
        <v/>
      </c>
      <c r="D263" s="41" t="s">
        <v>2882</v>
      </c>
      <c r="E263" s="101" t="s">
        <v>2883</v>
      </c>
      <c r="F263" s="101" t="s">
        <v>32</v>
      </c>
      <c r="G263" s="41" t="s">
        <v>29</v>
      </c>
      <c r="H263" s="41">
        <v>4</v>
      </c>
      <c r="I263" s="117" t="str">
        <f>IFERROR(ROUND(L263*M263/10000,4),"")</f>
        <v/>
      </c>
      <c r="J263" s="117" t="str">
        <f>IFERROR(I263*H263,"")</f>
        <v/>
      </c>
      <c r="K263" s="52"/>
      <c r="L263" s="53">
        <f t="shared" si="113"/>
        <v>1</v>
      </c>
      <c r="M263" s="69" t="str">
        <f>IFERROR(O263*N263,"")</f>
        <v/>
      </c>
      <c r="N263" s="55" t="str">
        <f>IFERROR(VLOOKUP(D263,元件库!$B:$O,10,FALSE),"1.00")</f>
        <v>1.00</v>
      </c>
      <c r="O263" s="337" t="str">
        <f>IFERROR(VLOOKUP(D263,元件库!$B:$O,11,FALSE),"")</f>
        <v/>
      </c>
      <c r="P263" s="57" t="str">
        <f>IF(_xlfn.ISFORMULA(O263),"","值")</f>
        <v/>
      </c>
    </row>
    <row r="264" spans="1:17" s="23" customFormat="1" ht="16.5" customHeight="1" x14ac:dyDescent="0.2">
      <c r="A264" s="363">
        <f>COUNTIF(L$1:L264,"!")</f>
        <v>20</v>
      </c>
      <c r="B264" s="364" t="str">
        <f>A264&amp;"."&amp;COUNTIF(A$3:A264,A264)-1</f>
        <v>20.12</v>
      </c>
      <c r="C264" s="100" t="str">
        <f>IFERROR(VLOOKUP(D264,元件库!$B:$O,3,FALSE),"")</f>
        <v>指示灯</v>
      </c>
      <c r="D264" s="41" t="s">
        <v>35</v>
      </c>
      <c r="E264" s="101" t="s">
        <v>2883</v>
      </c>
      <c r="F264" s="101" t="s">
        <v>32</v>
      </c>
      <c r="G264" s="41" t="s">
        <v>29</v>
      </c>
      <c r="H264" s="41">
        <v>3</v>
      </c>
      <c r="I264" s="117">
        <f>IFERROR(ROUND(L264*M264/10000,4),"")</f>
        <v>2.0000000000000001E-4</v>
      </c>
      <c r="J264" s="117">
        <f>IFERROR(I264*H264,"")</f>
        <v>6.0000000000000006E-4</v>
      </c>
      <c r="K264" s="52"/>
      <c r="L264" s="53">
        <f t="shared" si="113"/>
        <v>1</v>
      </c>
      <c r="M264" s="69">
        <f>IFERROR(O264*N264,"")</f>
        <v>2.3100000000000005</v>
      </c>
      <c r="N264" s="55">
        <f>IFERROR(VLOOKUP(D264,元件库!$B:$O,10,FALSE),"1.00")</f>
        <v>0.55000000000000004</v>
      </c>
      <c r="O264" s="337">
        <f>IFERROR(VLOOKUP(D264,元件库!$B:$O,11,FALSE),"")</f>
        <v>4.2</v>
      </c>
      <c r="P264" s="57" t="str">
        <f>IF(_xlfn.ISFORMULA(O264),"","值")</f>
        <v/>
      </c>
    </row>
    <row r="265" spans="1:17" s="23" customFormat="1" ht="16.5" customHeight="1" x14ac:dyDescent="0.2">
      <c r="A265" s="363">
        <f>COUNTIF(L$1:L265,"!")</f>
        <v>20</v>
      </c>
      <c r="B265" s="364" t="str">
        <f>A265&amp;"."&amp;COUNTIF(A$3:A265,A265)-1</f>
        <v>20.13</v>
      </c>
      <c r="C265" s="100" t="str">
        <f>IFERROR(VLOOKUP(D265,元件库!$B:$O,3,FALSE),"")</f>
        <v/>
      </c>
      <c r="D265" s="41" t="s">
        <v>70</v>
      </c>
      <c r="E265" s="101" t="s">
        <v>2883</v>
      </c>
      <c r="F265" s="101" t="s">
        <v>32</v>
      </c>
      <c r="G265" s="41" t="s">
        <v>29</v>
      </c>
      <c r="H265" s="41">
        <v>2</v>
      </c>
      <c r="I265" s="117" t="str">
        <f>IFERROR(ROUND(L265*M265/10000,4),"")</f>
        <v/>
      </c>
      <c r="J265" s="117" t="str">
        <f>IFERROR(I265*H265,"")</f>
        <v/>
      </c>
      <c r="K265" s="52"/>
      <c r="L265" s="53">
        <f t="shared" si="113"/>
        <v>1</v>
      </c>
      <c r="M265" s="69" t="str">
        <f>IFERROR(O265*N265,"")</f>
        <v/>
      </c>
      <c r="N265" s="55" t="str">
        <f>IFERROR(VLOOKUP(D265,元件库!$B:$O,10,FALSE),"1.00")</f>
        <v>1.00</v>
      </c>
      <c r="O265" s="337" t="str">
        <f>IFERROR(VLOOKUP(D265,元件库!$B:$O,11,FALSE),"")</f>
        <v/>
      </c>
      <c r="P265" s="57" t="str">
        <f>IF(_xlfn.ISFORMULA(O265),"","值")</f>
        <v/>
      </c>
    </row>
    <row r="266" spans="1:17" s="23" customFormat="1" ht="16.5" customHeight="1" x14ac:dyDescent="0.2">
      <c r="A266" s="363">
        <f>COUNTIF(L$1:L266,"!")</f>
        <v>20</v>
      </c>
      <c r="B266" s="364" t="str">
        <f>A266&amp;"."&amp;COUNTIF(A$3:A266,A266)-1</f>
        <v>20.14</v>
      </c>
      <c r="C266" s="100" t="str">
        <f>IFERROR(VLOOKUP(D266,元件库!$B:$O,3,FALSE),"")</f>
        <v>铜排</v>
      </c>
      <c r="D266" s="41" t="s">
        <v>2922</v>
      </c>
      <c r="E266" s="101" t="s">
        <v>2885</v>
      </c>
      <c r="F266" s="101" t="s">
        <v>38</v>
      </c>
      <c r="G266" s="41" t="s">
        <v>39</v>
      </c>
      <c r="H266" s="41">
        <v>11</v>
      </c>
      <c r="I266" s="117">
        <f t="shared" ref="I266:I270" si="117">IFERROR(ROUND(L266*M266/10000,4),"")</f>
        <v>2.4400000000000002E-2</v>
      </c>
      <c r="J266" s="117">
        <f t="shared" ref="J266:J270" si="118">IFERROR(I266*H266,"")</f>
        <v>0.26840000000000003</v>
      </c>
      <c r="K266" s="52"/>
      <c r="L266" s="53">
        <f t="shared" si="113"/>
        <v>1</v>
      </c>
      <c r="M266" s="69">
        <f t="shared" ref="M266:M270" si="119">IFERROR(O266*N266,"")</f>
        <v>243.50399999999999</v>
      </c>
      <c r="N266" s="55">
        <f>IFERROR(VLOOKUP(D266,元件库!$B:$O,10,FALSE),"1.00")</f>
        <v>1</v>
      </c>
      <c r="O266" s="337">
        <f>IFERROR(VLOOKUP(D266,元件库!$B:$O,11,FALSE),"")</f>
        <v>243.50399999999999</v>
      </c>
      <c r="P266" s="57" t="str">
        <f t="shared" ref="P266:P270" si="120">IF(_xlfn.ISFORMULA(O266),"","值")</f>
        <v/>
      </c>
    </row>
    <row r="267" spans="1:17" s="23" customFormat="1" ht="16.5" customHeight="1" x14ac:dyDescent="0.2">
      <c r="A267" s="363">
        <f>COUNTIF(L$1:L267,"!")</f>
        <v>20</v>
      </c>
      <c r="B267" s="364" t="str">
        <f>A267&amp;"."&amp;COUNTIF(A$3:A267,A267)-1</f>
        <v>20.15</v>
      </c>
      <c r="C267" s="100" t="s">
        <v>42</v>
      </c>
      <c r="D267" s="41" t="s">
        <v>2922</v>
      </c>
      <c r="E267" s="101" t="s">
        <v>37</v>
      </c>
      <c r="F267" s="101" t="s">
        <v>38</v>
      </c>
      <c r="G267" s="41" t="s">
        <v>39</v>
      </c>
      <c r="H267" s="41">
        <v>2.4</v>
      </c>
      <c r="I267" s="117">
        <f t="shared" si="117"/>
        <v>2.4400000000000002E-2</v>
      </c>
      <c r="J267" s="117">
        <f t="shared" si="118"/>
        <v>5.8560000000000001E-2</v>
      </c>
      <c r="K267" s="52"/>
      <c r="L267" s="53">
        <f t="shared" si="113"/>
        <v>1</v>
      </c>
      <c r="M267" s="69">
        <f t="shared" si="119"/>
        <v>243.50399999999999</v>
      </c>
      <c r="N267" s="55">
        <f>IFERROR(VLOOKUP(D267,元件库!$B:$O,10,FALSE),"1.00")</f>
        <v>1</v>
      </c>
      <c r="O267" s="337">
        <f>IFERROR(VLOOKUP(D267,元件库!$B:$O,11,FALSE),"")</f>
        <v>243.50399999999999</v>
      </c>
      <c r="P267" s="57" t="str">
        <f t="shared" si="120"/>
        <v/>
      </c>
    </row>
    <row r="268" spans="1:17" s="23" customFormat="1" ht="16.5" customHeight="1" x14ac:dyDescent="0.2">
      <c r="A268" s="363">
        <f>COUNTIF(L$1:L268,"!")</f>
        <v>20</v>
      </c>
      <c r="B268" s="364" t="str">
        <f>A268&amp;"."&amp;COUNTIF(A$3:A268,A268)-1</f>
        <v>20.16</v>
      </c>
      <c r="C268" s="100" t="s">
        <v>44</v>
      </c>
      <c r="D268" s="41" t="s">
        <v>2922</v>
      </c>
      <c r="E268" s="101" t="s">
        <v>37</v>
      </c>
      <c r="F268" s="101" t="s">
        <v>38</v>
      </c>
      <c r="G268" s="41" t="s">
        <v>39</v>
      </c>
      <c r="H268" s="41">
        <v>2.2999999999999998</v>
      </c>
      <c r="I268" s="117">
        <f t="shared" si="117"/>
        <v>2.4400000000000002E-2</v>
      </c>
      <c r="J268" s="117">
        <f t="shared" si="118"/>
        <v>5.6119999999999996E-2</v>
      </c>
      <c r="K268" s="52"/>
      <c r="L268" s="53">
        <f t="shared" si="113"/>
        <v>1</v>
      </c>
      <c r="M268" s="69">
        <f t="shared" si="119"/>
        <v>243.50399999999999</v>
      </c>
      <c r="N268" s="55">
        <f>IFERROR(VLOOKUP(D268,元件库!$B:$O,10,FALSE),"1.00")</f>
        <v>1</v>
      </c>
      <c r="O268" s="337">
        <f>IFERROR(VLOOKUP(D268,元件库!$B:$O,11,FALSE),"")</f>
        <v>243.50399999999999</v>
      </c>
      <c r="P268" s="57" t="str">
        <f t="shared" si="120"/>
        <v/>
      </c>
    </row>
    <row r="269" spans="1:17" s="23" customFormat="1" ht="16.5" customHeight="1" x14ac:dyDescent="0.2">
      <c r="A269" s="363">
        <f>COUNTIF(L$1:L269,"!")</f>
        <v>20</v>
      </c>
      <c r="B269" s="364" t="str">
        <f>A269&amp;"."&amp;COUNTIF(A$3:A269,A269)-1</f>
        <v>20.17</v>
      </c>
      <c r="C269" s="100" t="s">
        <v>45</v>
      </c>
      <c r="D269" s="41" t="s">
        <v>2923</v>
      </c>
      <c r="E269" s="101" t="s">
        <v>37</v>
      </c>
      <c r="F269" s="101" t="s">
        <v>38</v>
      </c>
      <c r="G269" s="41" t="s">
        <v>39</v>
      </c>
      <c r="H269" s="41">
        <v>0.8</v>
      </c>
      <c r="I269" s="117">
        <f t="shared" si="117"/>
        <v>1.2699999999999999E-2</v>
      </c>
      <c r="J269" s="117">
        <f t="shared" si="118"/>
        <v>1.0160000000000001E-2</v>
      </c>
      <c r="K269" s="52"/>
      <c r="L269" s="53">
        <f t="shared" si="113"/>
        <v>1</v>
      </c>
      <c r="M269" s="69">
        <f t="shared" si="119"/>
        <v>126.82499999999999</v>
      </c>
      <c r="N269" s="55">
        <f>IFERROR(VLOOKUP(D269,元件库!$B:$O,10,FALSE),"1.00")</f>
        <v>1</v>
      </c>
      <c r="O269" s="337">
        <f>IFERROR(VLOOKUP(D269,元件库!$B:$O,11,FALSE),"")</f>
        <v>126.82499999999999</v>
      </c>
      <c r="P269" s="57" t="str">
        <f t="shared" si="120"/>
        <v/>
      </c>
    </row>
    <row r="270" spans="1:17" s="23" customFormat="1" ht="16.5" customHeight="1" x14ac:dyDescent="0.2">
      <c r="A270" s="363">
        <f>COUNTIF(L$1:L270,"!")</f>
        <v>20</v>
      </c>
      <c r="B270" s="364" t="str">
        <f>A270&amp;"."&amp;COUNTIF(A$3:A270,A270)-1</f>
        <v>20.18</v>
      </c>
      <c r="C270" s="100" t="s">
        <v>51</v>
      </c>
      <c r="D270" s="41"/>
      <c r="E270" s="101"/>
      <c r="F270" s="101"/>
      <c r="G270" s="41" t="s">
        <v>2887</v>
      </c>
      <c r="H270" s="41">
        <v>1</v>
      </c>
      <c r="I270" s="117">
        <f t="shared" si="117"/>
        <v>0.11</v>
      </c>
      <c r="J270" s="117">
        <f t="shared" si="118"/>
        <v>0.11</v>
      </c>
      <c r="K270" s="52"/>
      <c r="L270" s="53">
        <f t="shared" si="113"/>
        <v>1</v>
      </c>
      <c r="M270" s="69">
        <f t="shared" si="119"/>
        <v>1100</v>
      </c>
      <c r="N270" s="55">
        <v>1</v>
      </c>
      <c r="O270" s="337">
        <v>1100</v>
      </c>
      <c r="P270" s="57" t="str">
        <f t="shared" si="120"/>
        <v>值</v>
      </c>
    </row>
    <row r="271" spans="1:17" s="23" customFormat="1" ht="27" customHeight="1" x14ac:dyDescent="0.2">
      <c r="A271" s="363">
        <f>COUNTIF(L$1:L271,"!")</f>
        <v>20</v>
      </c>
      <c r="B271" s="364" t="str">
        <f>A271&amp;"."&amp;COUNTIF(A$3:A271,A271)-1</f>
        <v>20.19</v>
      </c>
      <c r="C271" s="103" t="s">
        <v>53</v>
      </c>
      <c r="D271" s="104"/>
      <c r="E271" s="365"/>
      <c r="F271" s="101"/>
      <c r="G271" s="104"/>
      <c r="H271" s="104" t="s">
        <v>1</v>
      </c>
      <c r="I271" s="118" t="s">
        <v>52</v>
      </c>
      <c r="J271" s="366"/>
      <c r="K271" s="104"/>
      <c r="L271" s="53"/>
      <c r="M271" s="119"/>
      <c r="N271" s="70"/>
      <c r="O271" s="337"/>
    </row>
    <row r="272" spans="1:17" s="30" customFormat="1" ht="27" customHeight="1" x14ac:dyDescent="0.2">
      <c r="A272" s="363">
        <f>COUNTIF(L$1:L272,"!")</f>
        <v>20</v>
      </c>
      <c r="B272" s="364" t="str">
        <f>A272&amp;"."&amp;COUNTIF(A$3:A272,A272)-1</f>
        <v>20.20</v>
      </c>
      <c r="C272" s="103" t="s">
        <v>54</v>
      </c>
      <c r="D272" s="104"/>
      <c r="E272" s="365"/>
      <c r="F272" s="101"/>
      <c r="G272" s="104"/>
      <c r="H272" s="104"/>
      <c r="I272" s="118" t="s">
        <v>1</v>
      </c>
      <c r="J272" s="120">
        <f>SUM(J253:J271)</f>
        <v>1.1967399999999999</v>
      </c>
      <c r="K272" s="104"/>
      <c r="L272" s="53"/>
      <c r="M272" s="119"/>
      <c r="N272" s="70"/>
      <c r="O272" s="337"/>
      <c r="Q272" s="90"/>
    </row>
    <row r="273" spans="1:17" s="23" customFormat="1" ht="16.5" customHeight="1" x14ac:dyDescent="0.15">
      <c r="A273" s="97">
        <f>COUNTIF(L$1:L273,"!")</f>
        <v>21</v>
      </c>
      <c r="B273" s="32" t="str">
        <f>COUNTIF(L$2:L274,"!")&amp;"."</f>
        <v>21.</v>
      </c>
      <c r="C273" s="47" t="s">
        <v>2836</v>
      </c>
      <c r="D273" s="35" t="str">
        <f>D274</f>
        <v>GGD-1200*600*2000</v>
      </c>
      <c r="E273" s="367" t="s">
        <v>22</v>
      </c>
      <c r="F273" s="367" t="s">
        <v>3261</v>
      </c>
      <c r="G273" s="34" t="s">
        <v>23</v>
      </c>
      <c r="H273" s="98">
        <v>1</v>
      </c>
      <c r="I273" s="115">
        <f>LOOKUP(0,0/((A273:A288=A273)*(C273:C288="合计金额（单位完整货物单价）")),J273:J288)</f>
        <v>1.0175399999999999</v>
      </c>
      <c r="J273" s="116">
        <f>IFERROR(I273*H273,"")</f>
        <v>1.0175399999999999</v>
      </c>
      <c r="K273" s="34"/>
      <c r="L273" s="48" t="s">
        <v>24</v>
      </c>
      <c r="M273" s="49"/>
      <c r="N273" s="50"/>
      <c r="O273" s="51"/>
      <c r="Q273" s="360">
        <f>COUNTIF(L$3:L273,"#")</f>
        <v>3</v>
      </c>
    </row>
    <row r="274" spans="1:17" s="23" customFormat="1" ht="16.5" customHeight="1" x14ac:dyDescent="0.2">
      <c r="A274" s="363">
        <f>COUNTIF(L$1:L274,"!")</f>
        <v>21</v>
      </c>
      <c r="B274" s="364" t="str">
        <f>A274&amp;"."&amp;COUNTIF(A$3:A274,A274)-1</f>
        <v>21.1</v>
      </c>
      <c r="C274" s="100" t="s">
        <v>25</v>
      </c>
      <c r="D274" s="41" t="s">
        <v>2888</v>
      </c>
      <c r="E274" s="101" t="s">
        <v>22</v>
      </c>
      <c r="F274" s="101" t="s">
        <v>3261</v>
      </c>
      <c r="G274" s="41" t="s">
        <v>23</v>
      </c>
      <c r="H274" s="41">
        <v>1</v>
      </c>
      <c r="I274" s="117">
        <f>IFERROR(ROUND(L274*M274/10000,4),"")</f>
        <v>0.185</v>
      </c>
      <c r="J274" s="117">
        <f t="shared" ref="J274:J286" si="121">IFERROR(I274*H274,"")</f>
        <v>0.185</v>
      </c>
      <c r="K274" s="52"/>
      <c r="L274" s="53">
        <f t="shared" ref="L274:L286" si="122">L$2</f>
        <v>1</v>
      </c>
      <c r="M274" s="69">
        <f t="shared" ref="M274:M286" si="123">IFERROR(O274*N274,"")</f>
        <v>1850</v>
      </c>
      <c r="N274" s="55">
        <f>IFERROR(VLOOKUP(D274,元件库!$B:$O,10,FALSE),"1.00")</f>
        <v>1</v>
      </c>
      <c r="O274" s="337">
        <f>IFERROR(VLOOKUP(D274,元件库!$B:$O,11,FALSE),"")</f>
        <v>1850</v>
      </c>
      <c r="P274" s="57" t="str">
        <f t="shared" ref="P274:P286" si="124">IF(_xlfn.ISFORMULA(O274),"","值")</f>
        <v/>
      </c>
      <c r="Q274" s="90"/>
    </row>
    <row r="275" spans="1:17" s="23" customFormat="1" ht="16.5" customHeight="1" x14ac:dyDescent="0.2">
      <c r="A275" s="363">
        <f>COUNTIF(L$1:L275,"!")</f>
        <v>21</v>
      </c>
      <c r="B275" s="364" t="str">
        <f>A275&amp;"."&amp;COUNTIF(A$3:A275,A275)-1</f>
        <v>21.2</v>
      </c>
      <c r="C275" s="100" t="str">
        <f>IFERROR(VLOOKUP(D275,元件库!$B:$O,3,FALSE),"")</f>
        <v/>
      </c>
      <c r="D275" s="41" t="s">
        <v>2889</v>
      </c>
      <c r="E275" s="101" t="s">
        <v>22</v>
      </c>
      <c r="F275" s="101" t="s">
        <v>32</v>
      </c>
      <c r="G275" s="41" t="s">
        <v>29</v>
      </c>
      <c r="H275" s="41">
        <v>2</v>
      </c>
      <c r="I275" s="117" t="str">
        <f t="shared" ref="I275:I286" si="125">IFERROR(ROUND(L275*M275/10000,4),"")</f>
        <v/>
      </c>
      <c r="J275" s="117" t="str">
        <f t="shared" si="121"/>
        <v/>
      </c>
      <c r="K275" s="52"/>
      <c r="L275" s="53">
        <f t="shared" si="122"/>
        <v>1</v>
      </c>
      <c r="M275" s="69" t="str">
        <f t="shared" si="123"/>
        <v/>
      </c>
      <c r="N275" s="55" t="str">
        <f>IFERROR(VLOOKUP(D275,元件库!$B:$O,10,FALSE),"1.00")</f>
        <v>1.00</v>
      </c>
      <c r="O275" s="337" t="str">
        <f>IFERROR(VLOOKUP(D275,元件库!$B:$O,11,FALSE),"")</f>
        <v/>
      </c>
      <c r="P275" s="57" t="str">
        <f t="shared" si="124"/>
        <v/>
      </c>
      <c r="Q275" s="90"/>
    </row>
    <row r="276" spans="1:17" s="23" customFormat="1" ht="16.5" customHeight="1" x14ac:dyDescent="0.2">
      <c r="A276" s="363">
        <f>COUNTIF(L$1:L276,"!")</f>
        <v>21</v>
      </c>
      <c r="B276" s="364" t="str">
        <f>A276&amp;"."&amp;COUNTIF(A$3:A276,A276)-1</f>
        <v>21.3</v>
      </c>
      <c r="C276" s="100" t="str">
        <f>IFERROR(VLOOKUP(D276,元件库!$B:$O,3,FALSE),"")</f>
        <v/>
      </c>
      <c r="D276" s="41" t="s">
        <v>2890</v>
      </c>
      <c r="E276" s="101" t="s">
        <v>22</v>
      </c>
      <c r="F276" s="101" t="s">
        <v>32</v>
      </c>
      <c r="G276" s="41" t="s">
        <v>29</v>
      </c>
      <c r="H276" s="41">
        <v>4</v>
      </c>
      <c r="I276" s="117" t="str">
        <f t="shared" si="125"/>
        <v/>
      </c>
      <c r="J276" s="117" t="str">
        <f t="shared" si="121"/>
        <v/>
      </c>
      <c r="K276" s="52"/>
      <c r="L276" s="53">
        <f t="shared" si="122"/>
        <v>1</v>
      </c>
      <c r="M276" s="69" t="str">
        <f t="shared" si="123"/>
        <v/>
      </c>
      <c r="N276" s="55" t="str">
        <f>IFERROR(VLOOKUP(D276,元件库!$B:$O,10,FALSE),"1.00")</f>
        <v>1.00</v>
      </c>
      <c r="O276" s="337" t="str">
        <f>IFERROR(VLOOKUP(D276,元件库!$B:$O,11,FALSE),"")</f>
        <v/>
      </c>
      <c r="P276" s="57" t="str">
        <f t="shared" si="124"/>
        <v/>
      </c>
      <c r="Q276" s="90"/>
    </row>
    <row r="277" spans="1:17" s="23" customFormat="1" ht="16.5" customHeight="1" x14ac:dyDescent="0.2">
      <c r="A277" s="363">
        <f>COUNTIF(L$1:L277,"!")</f>
        <v>21</v>
      </c>
      <c r="B277" s="364" t="str">
        <f>A277&amp;"."&amp;COUNTIF(A$3:A277,A277)-1</f>
        <v>21.4</v>
      </c>
      <c r="C277" s="100" t="str">
        <f>IFERROR(VLOOKUP(D277,元件库!$B:$O,3,FALSE),"")</f>
        <v>塑壳断路器</v>
      </c>
      <c r="D277" s="41" t="s">
        <v>2891</v>
      </c>
      <c r="E277" s="101" t="s">
        <v>22</v>
      </c>
      <c r="F277" s="101" t="s">
        <v>28</v>
      </c>
      <c r="G277" s="41" t="s">
        <v>29</v>
      </c>
      <c r="H277" s="41">
        <v>2</v>
      </c>
      <c r="I277" s="117">
        <f t="shared" si="125"/>
        <v>9.98E-2</v>
      </c>
      <c r="J277" s="117">
        <f t="shared" si="121"/>
        <v>0.1996</v>
      </c>
      <c r="K277" s="52"/>
      <c r="L277" s="53">
        <f t="shared" si="122"/>
        <v>1</v>
      </c>
      <c r="M277" s="69">
        <f t="shared" si="123"/>
        <v>998</v>
      </c>
      <c r="N277" s="55">
        <f>IFERROR(VLOOKUP(D277,元件库!$B:$O,10,FALSE),"1.00")</f>
        <v>1</v>
      </c>
      <c r="O277" s="337">
        <f>IFERROR(VLOOKUP(D277,元件库!$B:$O,11,FALSE),"")</f>
        <v>998</v>
      </c>
      <c r="P277" s="57" t="str">
        <f t="shared" si="124"/>
        <v/>
      </c>
      <c r="Q277" s="90"/>
    </row>
    <row r="278" spans="1:17" s="23" customFormat="1" ht="16.5" customHeight="1" x14ac:dyDescent="0.2">
      <c r="A278" s="363">
        <f>COUNTIF(L$1:L278,"!")</f>
        <v>21</v>
      </c>
      <c r="B278" s="364" t="str">
        <f>A278&amp;"."&amp;COUNTIF(A$3:A278,A278)-1</f>
        <v>21.5</v>
      </c>
      <c r="C278" s="100" t="str">
        <f>IFERROR(VLOOKUP(D278,元件库!$B:$O,3,FALSE),"")</f>
        <v>塑壳断路器</v>
      </c>
      <c r="D278" s="41" t="s">
        <v>2892</v>
      </c>
      <c r="E278" s="101" t="s">
        <v>22</v>
      </c>
      <c r="F278" s="101" t="s">
        <v>28</v>
      </c>
      <c r="G278" s="41" t="s">
        <v>29</v>
      </c>
      <c r="H278" s="41">
        <v>4</v>
      </c>
      <c r="I278" s="117">
        <f t="shared" si="125"/>
        <v>7.3499999999999996E-2</v>
      </c>
      <c r="J278" s="117">
        <f t="shared" si="121"/>
        <v>0.29399999999999998</v>
      </c>
      <c r="K278" s="52"/>
      <c r="L278" s="53">
        <f t="shared" si="122"/>
        <v>1</v>
      </c>
      <c r="M278" s="69">
        <f t="shared" si="123"/>
        <v>735</v>
      </c>
      <c r="N278" s="55">
        <f>IFERROR(VLOOKUP(D278,元件库!$B:$O,10,FALSE),"1.00")</f>
        <v>1</v>
      </c>
      <c r="O278" s="337">
        <f>IFERROR(VLOOKUP(D278,元件库!$B:$O,11,FALSE),"")</f>
        <v>735</v>
      </c>
      <c r="P278" s="57" t="str">
        <f t="shared" si="124"/>
        <v/>
      </c>
    </row>
    <row r="279" spans="1:17" s="23" customFormat="1" ht="16.5" customHeight="1" x14ac:dyDescent="0.2">
      <c r="A279" s="363">
        <f>COUNTIF(L$1:L279,"!")</f>
        <v>21</v>
      </c>
      <c r="B279" s="364" t="str">
        <f>A279&amp;"."&amp;COUNTIF(A$3:A279,A279)-1</f>
        <v>21.6</v>
      </c>
      <c r="C279" s="100" t="str">
        <f>IFERROR(VLOOKUP(D279,元件库!$B:$O,3,FALSE),"")</f>
        <v/>
      </c>
      <c r="D279" s="41" t="s">
        <v>2882</v>
      </c>
      <c r="E279" s="101" t="s">
        <v>22</v>
      </c>
      <c r="F279" s="101" t="s">
        <v>32</v>
      </c>
      <c r="G279" s="41" t="s">
        <v>29</v>
      </c>
      <c r="H279" s="41">
        <v>6</v>
      </c>
      <c r="I279" s="117" t="str">
        <f t="shared" si="125"/>
        <v/>
      </c>
      <c r="J279" s="117" t="str">
        <f t="shared" si="121"/>
        <v/>
      </c>
      <c r="K279" s="52"/>
      <c r="L279" s="53">
        <f t="shared" si="122"/>
        <v>1</v>
      </c>
      <c r="M279" s="69" t="str">
        <f t="shared" si="123"/>
        <v/>
      </c>
      <c r="N279" s="55" t="str">
        <f>IFERROR(VLOOKUP(D279,元件库!$B:$O,10,FALSE),"1.00")</f>
        <v>1.00</v>
      </c>
      <c r="O279" s="337" t="str">
        <f>IFERROR(VLOOKUP(D279,元件库!$B:$O,11,FALSE),"")</f>
        <v/>
      </c>
      <c r="P279" s="57" t="str">
        <f t="shared" si="124"/>
        <v/>
      </c>
    </row>
    <row r="280" spans="1:17" s="23" customFormat="1" ht="16.5" customHeight="1" x14ac:dyDescent="0.2">
      <c r="A280" s="363">
        <f>COUNTIF(L$1:L280,"!")</f>
        <v>21</v>
      </c>
      <c r="B280" s="364" t="str">
        <f>A280&amp;"."&amp;COUNTIF(A$3:A280,A280)-1</f>
        <v>21.7</v>
      </c>
      <c r="C280" s="100" t="str">
        <f>IFERROR(VLOOKUP(D280,元件库!$B:$O,3,FALSE),"")</f>
        <v>指示灯</v>
      </c>
      <c r="D280" s="41" t="s">
        <v>35</v>
      </c>
      <c r="E280" s="101" t="s">
        <v>22</v>
      </c>
      <c r="F280" s="101" t="s">
        <v>32</v>
      </c>
      <c r="G280" s="41" t="s">
        <v>29</v>
      </c>
      <c r="H280" s="41">
        <v>6</v>
      </c>
      <c r="I280" s="117">
        <f t="shared" si="125"/>
        <v>2.0000000000000001E-4</v>
      </c>
      <c r="J280" s="117">
        <f t="shared" si="121"/>
        <v>1.2000000000000001E-3</v>
      </c>
      <c r="K280" s="52"/>
      <c r="L280" s="53">
        <f t="shared" si="122"/>
        <v>1</v>
      </c>
      <c r="M280" s="69">
        <f t="shared" si="123"/>
        <v>2.3100000000000005</v>
      </c>
      <c r="N280" s="55">
        <f>IFERROR(VLOOKUP(D280,元件库!$B:$O,10,FALSE),"1.00")</f>
        <v>0.55000000000000004</v>
      </c>
      <c r="O280" s="337">
        <f>IFERROR(VLOOKUP(D280,元件库!$B:$O,11,FALSE),"")</f>
        <v>4.2</v>
      </c>
      <c r="P280" s="57" t="str">
        <f t="shared" si="124"/>
        <v/>
      </c>
    </row>
    <row r="281" spans="1:17" s="23" customFormat="1" ht="16.5" customHeight="1" x14ac:dyDescent="0.2">
      <c r="A281" s="363">
        <f>COUNTIF(L$1:L281,"!")</f>
        <v>21</v>
      </c>
      <c r="B281" s="364" t="str">
        <f>A281&amp;"."&amp;COUNTIF(A$3:A281,A281)-1</f>
        <v>21.8</v>
      </c>
      <c r="C281" s="100" t="str">
        <f>IFERROR(VLOOKUP(D281,元件库!$B:$O,3,FALSE),"")</f>
        <v>铜排</v>
      </c>
      <c r="D281" s="41" t="s">
        <v>2924</v>
      </c>
      <c r="E281" s="101" t="s">
        <v>37</v>
      </c>
      <c r="F281" s="101" t="s">
        <v>38</v>
      </c>
      <c r="G281" s="41" t="s">
        <v>39</v>
      </c>
      <c r="H281" s="41">
        <v>5</v>
      </c>
      <c r="I281" s="117">
        <f t="shared" si="125"/>
        <v>1.2699999999999999E-2</v>
      </c>
      <c r="J281" s="117">
        <f t="shared" si="121"/>
        <v>6.3500000000000001E-2</v>
      </c>
      <c r="K281" s="52"/>
      <c r="L281" s="53">
        <f t="shared" si="122"/>
        <v>1</v>
      </c>
      <c r="M281" s="69">
        <f t="shared" si="123"/>
        <v>126.82499999999999</v>
      </c>
      <c r="N281" s="55">
        <f>IFERROR(VLOOKUP(D281,元件库!$B:$O,10,FALSE),"1.00")</f>
        <v>1</v>
      </c>
      <c r="O281" s="337">
        <f>IFERROR(VLOOKUP(D281,元件库!$B:$O,11,FALSE),"")</f>
        <v>126.82499999999999</v>
      </c>
      <c r="P281" s="57" t="str">
        <f t="shared" si="124"/>
        <v/>
      </c>
    </row>
    <row r="282" spans="1:17" s="23" customFormat="1" ht="16.5" customHeight="1" x14ac:dyDescent="0.2">
      <c r="A282" s="363">
        <f>COUNTIF(L$1:L282,"!")</f>
        <v>21</v>
      </c>
      <c r="B282" s="364" t="str">
        <f>A282&amp;"."&amp;COUNTIF(A$3:A282,A282)-1</f>
        <v>21.9</v>
      </c>
      <c r="C282" s="100" t="str">
        <f>IFERROR(VLOOKUP(D282,元件库!$B:$O,3,FALSE),"")</f>
        <v>铜排</v>
      </c>
      <c r="D282" s="41" t="s">
        <v>2894</v>
      </c>
      <c r="E282" s="101" t="s">
        <v>37</v>
      </c>
      <c r="F282" s="101" t="s">
        <v>38</v>
      </c>
      <c r="G282" s="41" t="s">
        <v>39</v>
      </c>
      <c r="H282" s="41">
        <v>10</v>
      </c>
      <c r="I282" s="117">
        <f t="shared" si="125"/>
        <v>7.6E-3</v>
      </c>
      <c r="J282" s="117">
        <f t="shared" si="121"/>
        <v>7.5999999999999998E-2</v>
      </c>
      <c r="K282" s="52"/>
      <c r="L282" s="53">
        <f t="shared" si="122"/>
        <v>1</v>
      </c>
      <c r="M282" s="69">
        <f t="shared" si="123"/>
        <v>76.094999999999999</v>
      </c>
      <c r="N282" s="55">
        <f>IFERROR(VLOOKUP(D282,元件库!$B:$O,10,FALSE),"1.00")</f>
        <v>1</v>
      </c>
      <c r="O282" s="337">
        <f>IFERROR(VLOOKUP(D282,元件库!$B:$O,11,FALSE),"")</f>
        <v>76.094999999999999</v>
      </c>
      <c r="P282" s="57" t="str">
        <f t="shared" si="124"/>
        <v/>
      </c>
    </row>
    <row r="283" spans="1:17" s="23" customFormat="1" ht="16.5" customHeight="1" x14ac:dyDescent="0.2">
      <c r="A283" s="363">
        <f>COUNTIF(L$1:L283,"!")</f>
        <v>21</v>
      </c>
      <c r="B283" s="364" t="str">
        <f>A283&amp;"."&amp;COUNTIF(A$3:A283,A283)-1</f>
        <v>21.10</v>
      </c>
      <c r="C283" s="100" t="s">
        <v>42</v>
      </c>
      <c r="D283" s="41" t="s">
        <v>2922</v>
      </c>
      <c r="E283" s="101" t="s">
        <v>37</v>
      </c>
      <c r="F283" s="101" t="s">
        <v>38</v>
      </c>
      <c r="G283" s="41" t="s">
        <v>39</v>
      </c>
      <c r="H283" s="41">
        <v>2.4</v>
      </c>
      <c r="I283" s="117">
        <f t="shared" si="125"/>
        <v>2.4400000000000002E-2</v>
      </c>
      <c r="J283" s="117">
        <f t="shared" si="121"/>
        <v>5.8560000000000001E-2</v>
      </c>
      <c r="K283" s="52"/>
      <c r="L283" s="53">
        <f t="shared" si="122"/>
        <v>1</v>
      </c>
      <c r="M283" s="69">
        <f t="shared" si="123"/>
        <v>243.50399999999999</v>
      </c>
      <c r="N283" s="55">
        <f>IFERROR(VLOOKUP(D283,元件库!$B:$O,10,FALSE),"1.00")</f>
        <v>1</v>
      </c>
      <c r="O283" s="337">
        <f>IFERROR(VLOOKUP(D283,元件库!$B:$O,11,FALSE),"")</f>
        <v>243.50399999999999</v>
      </c>
      <c r="P283" s="57" t="str">
        <f t="shared" si="124"/>
        <v/>
      </c>
      <c r="Q283" s="59" t="str">
        <f>IFERROR(LOOKUP(0,0/((A$2:A281=A283)*(C$2:C281="壳体W*H*D")),D$2:D281),LOOKUP(0,0/((A$2:A281=A283)*(C$2:C281="壳体W*D*H")),D$2:D281))</f>
        <v>GGD-1200*600*2000</v>
      </c>
    </row>
    <row r="284" spans="1:17" s="23" customFormat="1" ht="16.5" customHeight="1" x14ac:dyDescent="0.2">
      <c r="A284" s="363">
        <f>COUNTIF(L$1:L284,"!")</f>
        <v>21</v>
      </c>
      <c r="B284" s="364" t="str">
        <f>A284&amp;"."&amp;COUNTIF(A$3:A284,A284)-1</f>
        <v>21.11</v>
      </c>
      <c r="C284" s="100" t="s">
        <v>44</v>
      </c>
      <c r="D284" s="41" t="s">
        <v>2922</v>
      </c>
      <c r="E284" s="101" t="s">
        <v>37</v>
      </c>
      <c r="F284" s="101" t="s">
        <v>38</v>
      </c>
      <c r="G284" s="41" t="s">
        <v>39</v>
      </c>
      <c r="H284" s="41">
        <v>0.8</v>
      </c>
      <c r="I284" s="117">
        <f t="shared" si="125"/>
        <v>2.4400000000000002E-2</v>
      </c>
      <c r="J284" s="117">
        <f t="shared" si="121"/>
        <v>1.9520000000000003E-2</v>
      </c>
      <c r="K284" s="52"/>
      <c r="L284" s="53">
        <f t="shared" si="122"/>
        <v>1</v>
      </c>
      <c r="M284" s="69">
        <f t="shared" si="123"/>
        <v>243.50399999999999</v>
      </c>
      <c r="N284" s="55">
        <f>IFERROR(VLOOKUP(D284,元件库!$B:$O,10,FALSE),"1.00")</f>
        <v>1</v>
      </c>
      <c r="O284" s="337">
        <f>IFERROR(VLOOKUP(D284,元件库!$B:$O,11,FALSE),"")</f>
        <v>243.50399999999999</v>
      </c>
      <c r="P284" s="57" t="str">
        <f t="shared" si="124"/>
        <v/>
      </c>
      <c r="Q284" s="59" t="str">
        <f>IFERROR(LOOKUP(0,0/((A$2:A283=A284)*(C$2:C283="壳体W*H*D")),D$2:D283),LOOKUP(0,0/((A$2:A283=A284)*(C$2:C283="壳体W*D*H")),D$2:D283))</f>
        <v>GGD-1200*600*2000</v>
      </c>
    </row>
    <row r="285" spans="1:17" s="23" customFormat="1" ht="16.5" customHeight="1" x14ac:dyDescent="0.2">
      <c r="A285" s="363">
        <f>COUNTIF(L$1:L285,"!")</f>
        <v>21</v>
      </c>
      <c r="B285" s="364" t="str">
        <f>A285&amp;"."&amp;COUNTIF(A$3:A285,A285)-1</f>
        <v>21.12</v>
      </c>
      <c r="C285" s="100" t="s">
        <v>45</v>
      </c>
      <c r="D285" s="41" t="s">
        <v>2923</v>
      </c>
      <c r="E285" s="101" t="s">
        <v>37</v>
      </c>
      <c r="F285" s="101" t="s">
        <v>38</v>
      </c>
      <c r="G285" s="41" t="s">
        <v>39</v>
      </c>
      <c r="H285" s="41">
        <v>0.8</v>
      </c>
      <c r="I285" s="117">
        <f t="shared" si="125"/>
        <v>1.2699999999999999E-2</v>
      </c>
      <c r="J285" s="117">
        <f t="shared" si="121"/>
        <v>1.0160000000000001E-2</v>
      </c>
      <c r="K285" s="52"/>
      <c r="L285" s="53">
        <f t="shared" si="122"/>
        <v>1</v>
      </c>
      <c r="M285" s="69">
        <f t="shared" si="123"/>
        <v>126.82499999999999</v>
      </c>
      <c r="N285" s="55">
        <f>IFERROR(VLOOKUP(D285,元件库!$B:$O,10,FALSE),"1.00")</f>
        <v>1</v>
      </c>
      <c r="O285" s="337">
        <f>IFERROR(VLOOKUP(D285,元件库!$B:$O,11,FALSE),"")</f>
        <v>126.82499999999999</v>
      </c>
      <c r="P285" s="57" t="str">
        <f t="shared" si="124"/>
        <v/>
      </c>
      <c r="Q285" s="59" t="str">
        <f>IFERROR(LOOKUP(0,0/((A$2:A284=A285)*(C$2:C284="壳体W*H*D")),D$2:D284),LOOKUP(0,0/((A$2:A284=A285)*(C$2:C284="壳体W*D*H")),D$2:D284))</f>
        <v>GGD-1200*600*2000</v>
      </c>
    </row>
    <row r="286" spans="1:17" s="23" customFormat="1" ht="16.5" customHeight="1" x14ac:dyDescent="0.2">
      <c r="A286" s="363">
        <f>COUNTIF(L$1:L286,"!")</f>
        <v>21</v>
      </c>
      <c r="B286" s="364" t="str">
        <f>A286&amp;"."&amp;COUNTIF(A$3:A286,A286)-1</f>
        <v>21.13</v>
      </c>
      <c r="C286" s="100" t="s">
        <v>51</v>
      </c>
      <c r="D286" s="41"/>
      <c r="E286" s="101"/>
      <c r="F286" s="101"/>
      <c r="G286" s="41" t="s">
        <v>2887</v>
      </c>
      <c r="H286" s="41">
        <v>1</v>
      </c>
      <c r="I286" s="117">
        <f t="shared" si="125"/>
        <v>0.11</v>
      </c>
      <c r="J286" s="117">
        <f t="shared" si="121"/>
        <v>0.11</v>
      </c>
      <c r="K286" s="52"/>
      <c r="L286" s="53">
        <f t="shared" si="122"/>
        <v>1</v>
      </c>
      <c r="M286" s="69">
        <f t="shared" si="123"/>
        <v>1100</v>
      </c>
      <c r="N286" s="55">
        <v>1</v>
      </c>
      <c r="O286" s="337">
        <v>1100</v>
      </c>
      <c r="P286" s="57" t="str">
        <f t="shared" si="124"/>
        <v>值</v>
      </c>
    </row>
    <row r="287" spans="1:17" s="23" customFormat="1" ht="27" customHeight="1" x14ac:dyDescent="0.2">
      <c r="A287" s="363">
        <f>COUNTIF(L$1:L287,"!")</f>
        <v>21</v>
      </c>
      <c r="B287" s="364" t="str">
        <f>A287&amp;"."&amp;COUNTIF(A$3:A287,A287)-1</f>
        <v>21.14</v>
      </c>
      <c r="C287" s="103" t="s">
        <v>53</v>
      </c>
      <c r="D287" s="104"/>
      <c r="E287" s="365"/>
      <c r="F287" s="101"/>
      <c r="G287" s="104"/>
      <c r="H287" s="104" t="s">
        <v>1</v>
      </c>
      <c r="I287" s="118" t="s">
        <v>52</v>
      </c>
      <c r="J287" s="366"/>
      <c r="K287" s="104"/>
      <c r="L287" s="53"/>
      <c r="M287" s="119"/>
      <c r="N287" s="70"/>
      <c r="O287" s="337"/>
    </row>
    <row r="288" spans="1:17" s="30" customFormat="1" ht="27" customHeight="1" x14ac:dyDescent="0.2">
      <c r="A288" s="363">
        <f>COUNTIF(L$1:L288,"!")</f>
        <v>21</v>
      </c>
      <c r="B288" s="364" t="str">
        <f>A288&amp;"."&amp;COUNTIF(A$3:A288,A288)-1</f>
        <v>21.15</v>
      </c>
      <c r="C288" s="103" t="s">
        <v>54</v>
      </c>
      <c r="D288" s="104"/>
      <c r="E288" s="365"/>
      <c r="F288" s="101"/>
      <c r="G288" s="104"/>
      <c r="H288" s="104"/>
      <c r="I288" s="118" t="s">
        <v>1</v>
      </c>
      <c r="J288" s="120">
        <f>SUM(J274:J287)</f>
        <v>1.0175399999999999</v>
      </c>
      <c r="K288" s="104"/>
      <c r="L288" s="53"/>
      <c r="M288" s="119"/>
      <c r="N288" s="70"/>
      <c r="O288" s="337"/>
      <c r="Q288" s="90"/>
    </row>
    <row r="289" spans="1:17" s="23" customFormat="1" ht="16.5" customHeight="1" x14ac:dyDescent="0.15">
      <c r="A289" s="97">
        <f>COUNTIF(L$1:L289,"!")</f>
        <v>22</v>
      </c>
      <c r="B289" s="32" t="str">
        <f>COUNTIF(L$2:L290,"!")&amp;"."</f>
        <v>22.</v>
      </c>
      <c r="C289" s="47" t="s">
        <v>2847</v>
      </c>
      <c r="D289" s="35" t="s">
        <v>2848</v>
      </c>
      <c r="E289" s="367" t="s">
        <v>22</v>
      </c>
      <c r="F289" s="367" t="s">
        <v>3261</v>
      </c>
      <c r="G289" s="34" t="s">
        <v>23</v>
      </c>
      <c r="H289" s="98">
        <v>1</v>
      </c>
      <c r="I289" s="115">
        <f>LOOKUP(0,0/((A289:A310=A289)*(C289:C310="合计金额（单位完整货物单价）")),J289:J310)</f>
        <v>1.2615400000000001</v>
      </c>
      <c r="J289" s="116">
        <f>IFERROR(I289*H289,"")</f>
        <v>1.2615400000000001</v>
      </c>
      <c r="K289" s="34"/>
      <c r="L289" s="48" t="s">
        <v>24</v>
      </c>
      <c r="M289" s="49"/>
      <c r="N289" s="50"/>
      <c r="O289" s="51"/>
      <c r="Q289" s="360">
        <f>COUNTIF(L$3:L289,"#")</f>
        <v>3</v>
      </c>
    </row>
    <row r="290" spans="1:17" s="23" customFormat="1" ht="16.5" customHeight="1" x14ac:dyDescent="0.2">
      <c r="A290" s="363">
        <f>COUNTIF(L$1:L290,"!")</f>
        <v>22</v>
      </c>
      <c r="B290" s="364" t="str">
        <f>A290&amp;"."&amp;COUNTIF(A$3:A290,A290)-1</f>
        <v>22.1</v>
      </c>
      <c r="C290" s="100" t="s">
        <v>25</v>
      </c>
      <c r="D290" s="41" t="s">
        <v>2925</v>
      </c>
      <c r="E290" s="101" t="s">
        <v>22</v>
      </c>
      <c r="F290" s="101" t="s">
        <v>3261</v>
      </c>
      <c r="G290" s="41" t="s">
        <v>23</v>
      </c>
      <c r="H290" s="41">
        <v>1</v>
      </c>
      <c r="I290" s="117">
        <f>IFERROR(ROUND(L290*M290/10000,4),"")</f>
        <v>0.155</v>
      </c>
      <c r="J290" s="117">
        <f t="shared" ref="J290:J299" si="126">IFERROR(I290*H290,"")</f>
        <v>0.155</v>
      </c>
      <c r="K290" s="52"/>
      <c r="L290" s="53">
        <f t="shared" ref="L290:L307" si="127">L$2</f>
        <v>1</v>
      </c>
      <c r="M290" s="69">
        <f t="shared" ref="M290:M299" si="128">IFERROR(O290*N290,"")</f>
        <v>1550</v>
      </c>
      <c r="N290" s="55">
        <f>IFERROR(VLOOKUP(D290,元件库!$B:$O,10,FALSE),"1.00")</f>
        <v>1</v>
      </c>
      <c r="O290" s="337">
        <f>IFERROR(VLOOKUP(D290,元件库!$B:$O,11,FALSE),"")</f>
        <v>1550</v>
      </c>
      <c r="P290" s="57" t="str">
        <f t="shared" ref="P290:P299" si="129">IF(_xlfn.ISFORMULA(O290),"","值")</f>
        <v/>
      </c>
      <c r="Q290" s="90"/>
    </row>
    <row r="291" spans="1:17" s="23" customFormat="1" ht="16.5" customHeight="1" x14ac:dyDescent="0.2">
      <c r="A291" s="363">
        <f>COUNTIF(L$1:L291,"!")</f>
        <v>22</v>
      </c>
      <c r="B291" s="364" t="str">
        <f>A291&amp;"."&amp;COUNTIF(A$3:A291,A291)-1</f>
        <v>22.2</v>
      </c>
      <c r="C291" s="100" t="str">
        <f>IFERROR(VLOOKUP(D291,元件库!$B:$O,3,FALSE),"")</f>
        <v>刀开关</v>
      </c>
      <c r="D291" s="41" t="s">
        <v>2926</v>
      </c>
      <c r="E291" s="101" t="s">
        <v>22</v>
      </c>
      <c r="F291" s="101" t="s">
        <v>32</v>
      </c>
      <c r="G291" s="41" t="s">
        <v>29</v>
      </c>
      <c r="H291" s="41">
        <v>1</v>
      </c>
      <c r="I291" s="117">
        <f>IFERROR(ROUND(L291*M291/10000,4),"")</f>
        <v>1.9300000000000001E-2</v>
      </c>
      <c r="J291" s="117">
        <f t="shared" si="126"/>
        <v>1.9300000000000001E-2</v>
      </c>
      <c r="K291" s="52"/>
      <c r="L291" s="53">
        <f t="shared" si="127"/>
        <v>1</v>
      </c>
      <c r="M291" s="69">
        <f t="shared" si="128"/>
        <v>192.50000000000003</v>
      </c>
      <c r="N291" s="55">
        <f>IFERROR(VLOOKUP(D291,元件库!$B:$O,10,FALSE),"1.00")</f>
        <v>0.55000000000000004</v>
      </c>
      <c r="O291" s="337">
        <f>IFERROR(VLOOKUP(D291,元件库!$B:$O,11,FALSE),"")</f>
        <v>350</v>
      </c>
      <c r="P291" s="57" t="str">
        <f t="shared" si="129"/>
        <v/>
      </c>
      <c r="Q291" s="90"/>
    </row>
    <row r="292" spans="1:17" s="23" customFormat="1" ht="16.5" customHeight="1" x14ac:dyDescent="0.2">
      <c r="A292" s="363">
        <f>COUNTIF(L$1:L292,"!")</f>
        <v>22</v>
      </c>
      <c r="B292" s="364" t="str">
        <f>A292&amp;"."&amp;COUNTIF(A$3:A292,A292)-1</f>
        <v>22.3</v>
      </c>
      <c r="C292" s="100" t="str">
        <f>IFERROR(VLOOKUP(D292,元件库!$B:$O,3,FALSE),"")</f>
        <v/>
      </c>
      <c r="D292" s="41" t="s">
        <v>31</v>
      </c>
      <c r="E292" s="101" t="s">
        <v>22</v>
      </c>
      <c r="F292" s="101" t="s">
        <v>32</v>
      </c>
      <c r="G292" s="41" t="s">
        <v>29</v>
      </c>
      <c r="H292" s="41">
        <v>3</v>
      </c>
      <c r="I292" s="117" t="str">
        <f t="shared" ref="I292:I299" si="130">IFERROR(ROUND(L292*M292/10000,4),"")</f>
        <v/>
      </c>
      <c r="J292" s="117" t="str">
        <f t="shared" si="126"/>
        <v/>
      </c>
      <c r="K292" s="52"/>
      <c r="L292" s="53">
        <f t="shared" si="127"/>
        <v>1</v>
      </c>
      <c r="M292" s="69" t="str">
        <f t="shared" si="128"/>
        <v/>
      </c>
      <c r="N292" s="55" t="str">
        <f>IFERROR(VLOOKUP(D292,元件库!$B:$O,10,FALSE),"1.00")</f>
        <v>1.00</v>
      </c>
      <c r="O292" s="337" t="str">
        <f>IFERROR(VLOOKUP(D292,元件库!$B:$O,11,FALSE),"")</f>
        <v/>
      </c>
      <c r="P292" s="57" t="str">
        <f t="shared" si="129"/>
        <v/>
      </c>
      <c r="Q292" s="90"/>
    </row>
    <row r="293" spans="1:17" s="23" customFormat="1" ht="16.5" customHeight="1" x14ac:dyDescent="0.2">
      <c r="A293" s="363">
        <f>COUNTIF(L$1:L293,"!")</f>
        <v>22</v>
      </c>
      <c r="B293" s="364" t="str">
        <f>A293&amp;"."&amp;COUNTIF(A$3:A293,A293)-1</f>
        <v>22.4</v>
      </c>
      <c r="C293" s="100" t="str">
        <f>IFERROR(VLOOKUP(D293,元件库!$B:$O,3,FALSE),"")</f>
        <v>电流.电压表</v>
      </c>
      <c r="D293" s="41" t="s">
        <v>145</v>
      </c>
      <c r="E293" s="101" t="s">
        <v>22</v>
      </c>
      <c r="F293" s="101" t="s">
        <v>32</v>
      </c>
      <c r="G293" s="41" t="s">
        <v>29</v>
      </c>
      <c r="H293" s="41">
        <v>3</v>
      </c>
      <c r="I293" s="117">
        <f t="shared" si="130"/>
        <v>1.4E-3</v>
      </c>
      <c r="J293" s="117">
        <f t="shared" si="126"/>
        <v>4.1999999999999997E-3</v>
      </c>
      <c r="K293" s="52"/>
      <c r="L293" s="53">
        <f t="shared" si="127"/>
        <v>1</v>
      </c>
      <c r="M293" s="69">
        <f t="shared" si="128"/>
        <v>13.750000000000002</v>
      </c>
      <c r="N293" s="55">
        <f>IFERROR(VLOOKUP(D293,元件库!$B:$O,10,FALSE),"1.00")</f>
        <v>0.55000000000000004</v>
      </c>
      <c r="O293" s="337">
        <f>IFERROR(VLOOKUP(D293,元件库!$B:$O,11,FALSE),"")</f>
        <v>25</v>
      </c>
      <c r="P293" s="57" t="str">
        <f t="shared" si="129"/>
        <v/>
      </c>
      <c r="Q293" s="90"/>
    </row>
    <row r="294" spans="1:17" s="23" customFormat="1" ht="16.5" customHeight="1" x14ac:dyDescent="0.2">
      <c r="A294" s="363">
        <f>COUNTIF(L$1:L294,"!")</f>
        <v>22</v>
      </c>
      <c r="B294" s="364" t="str">
        <f>A294&amp;"."&amp;COUNTIF(A$3:A294,A294)-1</f>
        <v>22.5</v>
      </c>
      <c r="C294" s="100" t="str">
        <f>IFERROR(VLOOKUP(D294,元件库!$B:$O,3,FALSE),"")</f>
        <v>电流.电压表</v>
      </c>
      <c r="D294" s="41" t="s">
        <v>150</v>
      </c>
      <c r="E294" s="101" t="s">
        <v>22</v>
      </c>
      <c r="F294" s="101" t="s">
        <v>32</v>
      </c>
      <c r="G294" s="41" t="s">
        <v>29</v>
      </c>
      <c r="H294" s="41">
        <v>1</v>
      </c>
      <c r="I294" s="117">
        <f t="shared" si="130"/>
        <v>1.4E-3</v>
      </c>
      <c r="J294" s="117">
        <f t="shared" si="126"/>
        <v>1.4E-3</v>
      </c>
      <c r="K294" s="52"/>
      <c r="L294" s="53">
        <f t="shared" si="127"/>
        <v>1</v>
      </c>
      <c r="M294" s="69">
        <f t="shared" si="128"/>
        <v>13.750000000000002</v>
      </c>
      <c r="N294" s="55">
        <f>IFERROR(VLOOKUP(D294,元件库!$B:$O,10,FALSE),"1.00")</f>
        <v>0.55000000000000004</v>
      </c>
      <c r="O294" s="337">
        <f>IFERROR(VLOOKUP(D294,元件库!$B:$O,11,FALSE),"")</f>
        <v>25</v>
      </c>
      <c r="P294" s="57" t="str">
        <f t="shared" si="129"/>
        <v/>
      </c>
    </row>
    <row r="295" spans="1:17" s="23" customFormat="1" ht="16.5" customHeight="1" x14ac:dyDescent="0.2">
      <c r="A295" s="363">
        <f>COUNTIF(L$1:L295,"!")</f>
        <v>22</v>
      </c>
      <c r="B295" s="364" t="str">
        <f>A295&amp;"."&amp;COUNTIF(A$3:A295,A295)-1</f>
        <v>22.6</v>
      </c>
      <c r="C295" s="100" t="str">
        <f>IFERROR(VLOOKUP(D295,元件库!$B:$O,3,FALSE),"")</f>
        <v/>
      </c>
      <c r="D295" s="41" t="s">
        <v>2920</v>
      </c>
      <c r="E295" s="101" t="s">
        <v>22</v>
      </c>
      <c r="F295" s="101" t="s">
        <v>32</v>
      </c>
      <c r="G295" s="41" t="s">
        <v>29</v>
      </c>
      <c r="H295" s="41">
        <v>1</v>
      </c>
      <c r="I295" s="117" t="str">
        <f t="shared" si="130"/>
        <v/>
      </c>
      <c r="J295" s="117" t="str">
        <f t="shared" si="126"/>
        <v/>
      </c>
      <c r="K295" s="52"/>
      <c r="L295" s="53">
        <f t="shared" si="127"/>
        <v>1</v>
      </c>
      <c r="M295" s="69" t="str">
        <f t="shared" si="128"/>
        <v/>
      </c>
      <c r="N295" s="55" t="str">
        <f>IFERROR(VLOOKUP(D295,元件库!$B:$O,10,FALSE),"1.00")</f>
        <v>1.00</v>
      </c>
      <c r="O295" s="337" t="str">
        <f>IFERROR(VLOOKUP(D295,元件库!$B:$O,11,FALSE),"")</f>
        <v/>
      </c>
      <c r="P295" s="57" t="str">
        <f t="shared" si="129"/>
        <v/>
      </c>
    </row>
    <row r="296" spans="1:17" s="23" customFormat="1" ht="16.5" customHeight="1" x14ac:dyDescent="0.2">
      <c r="A296" s="363">
        <f>COUNTIF(L$1:L296,"!")</f>
        <v>22</v>
      </c>
      <c r="B296" s="364" t="str">
        <f>A296&amp;"."&amp;COUNTIF(A$3:A296,A296)-1</f>
        <v>22.7</v>
      </c>
      <c r="C296" s="100" t="str">
        <f>IFERROR(VLOOKUP(D296,元件库!$B:$O,3,FALSE),"")</f>
        <v>智能电容器</v>
      </c>
      <c r="D296" s="41" t="s">
        <v>2927</v>
      </c>
      <c r="E296" s="101" t="s">
        <v>22</v>
      </c>
      <c r="F296" s="101" t="s">
        <v>1467</v>
      </c>
      <c r="G296" s="41" t="s">
        <v>29</v>
      </c>
      <c r="H296" s="41">
        <v>6</v>
      </c>
      <c r="I296" s="117">
        <f t="shared" si="130"/>
        <v>5.3999999999999999E-2</v>
      </c>
      <c r="J296" s="117">
        <f t="shared" si="126"/>
        <v>0.32400000000000001</v>
      </c>
      <c r="K296" s="52"/>
      <c r="L296" s="53">
        <f t="shared" si="127"/>
        <v>1</v>
      </c>
      <c r="M296" s="69">
        <f t="shared" si="128"/>
        <v>540</v>
      </c>
      <c r="N296" s="55">
        <f>IFERROR(VLOOKUP(D296,元件库!$B:$O,10,FALSE),"1.00")</f>
        <v>1</v>
      </c>
      <c r="O296" s="337">
        <f>IFERROR(VLOOKUP(D296,元件库!$B:$O,11,FALSE),"")</f>
        <v>540</v>
      </c>
      <c r="P296" s="57" t="str">
        <f t="shared" si="129"/>
        <v/>
      </c>
    </row>
    <row r="297" spans="1:17" s="23" customFormat="1" ht="16.5" customHeight="1" x14ac:dyDescent="0.2">
      <c r="A297" s="363">
        <f>COUNTIF(L$1:L297,"!")</f>
        <v>22</v>
      </c>
      <c r="B297" s="364" t="str">
        <f>A297&amp;"."&amp;COUNTIF(A$3:A297,A297)-1</f>
        <v>22.8</v>
      </c>
      <c r="C297" s="100" t="str">
        <f>IFERROR(VLOOKUP(D297,元件库!$B:$O,3,FALSE),"")</f>
        <v>智能电容器</v>
      </c>
      <c r="D297" s="41" t="s">
        <v>2899</v>
      </c>
      <c r="E297" s="101" t="s">
        <v>22</v>
      </c>
      <c r="F297" s="101" t="s">
        <v>1467</v>
      </c>
      <c r="G297" s="41" t="s">
        <v>29</v>
      </c>
      <c r="H297" s="41">
        <v>8</v>
      </c>
      <c r="I297" s="117">
        <f t="shared" si="130"/>
        <v>5.3999999999999999E-2</v>
      </c>
      <c r="J297" s="117">
        <f t="shared" si="126"/>
        <v>0.432</v>
      </c>
      <c r="K297" s="52"/>
      <c r="L297" s="53">
        <f t="shared" si="127"/>
        <v>1</v>
      </c>
      <c r="M297" s="69">
        <f t="shared" si="128"/>
        <v>540</v>
      </c>
      <c r="N297" s="55">
        <f>IFERROR(VLOOKUP(D297,元件库!$B:$O,10,FALSE),"1.00")</f>
        <v>1</v>
      </c>
      <c r="O297" s="337">
        <f>IFERROR(VLOOKUP(D297,元件库!$B:$O,11,FALSE),"")</f>
        <v>540</v>
      </c>
      <c r="P297" s="57" t="str">
        <f t="shared" si="129"/>
        <v/>
      </c>
    </row>
    <row r="298" spans="1:17" s="23" customFormat="1" ht="16.5" customHeight="1" x14ac:dyDescent="0.2">
      <c r="A298" s="363">
        <f>COUNTIF(L$1:L298,"!")</f>
        <v>22</v>
      </c>
      <c r="B298" s="364" t="str">
        <f>A298&amp;"."&amp;COUNTIF(A$3:A298,A298)-1</f>
        <v>22.9</v>
      </c>
      <c r="C298" s="100" t="str">
        <f>IFERROR(VLOOKUP(D298,元件库!$B:$O,3,FALSE),"")</f>
        <v>补偿控制器</v>
      </c>
      <c r="D298" s="41" t="s">
        <v>1481</v>
      </c>
      <c r="E298" s="101" t="s">
        <v>22</v>
      </c>
      <c r="F298" s="101" t="s">
        <v>1467</v>
      </c>
      <c r="G298" s="41" t="s">
        <v>29</v>
      </c>
      <c r="H298" s="41">
        <v>1</v>
      </c>
      <c r="I298" s="117">
        <f t="shared" si="130"/>
        <v>3.6999999999999998E-2</v>
      </c>
      <c r="J298" s="117">
        <f t="shared" si="126"/>
        <v>3.6999999999999998E-2</v>
      </c>
      <c r="K298" s="52"/>
      <c r="L298" s="53">
        <f t="shared" si="127"/>
        <v>1</v>
      </c>
      <c r="M298" s="69">
        <f t="shared" si="128"/>
        <v>370</v>
      </c>
      <c r="N298" s="55">
        <f>IFERROR(VLOOKUP(D298,元件库!$B:$O,10,FALSE),"1.00")</f>
        <v>1</v>
      </c>
      <c r="O298" s="337">
        <f>IFERROR(VLOOKUP(D298,元件库!$B:$O,11,FALSE),"")</f>
        <v>370</v>
      </c>
      <c r="P298" s="57" t="str">
        <f t="shared" si="129"/>
        <v/>
      </c>
    </row>
    <row r="299" spans="1:17" s="23" customFormat="1" ht="16.5" customHeight="1" x14ac:dyDescent="0.2">
      <c r="A299" s="363">
        <f>COUNTIF(L$1:L299,"!")</f>
        <v>22</v>
      </c>
      <c r="B299" s="364" t="str">
        <f>A299&amp;"."&amp;COUNTIF(A$3:A299,A299)-1</f>
        <v>22.10</v>
      </c>
      <c r="C299" s="100" t="str">
        <f>IFERROR(VLOOKUP(D299,元件库!$B:$O,3,FALSE),"")</f>
        <v>浪涌保护器</v>
      </c>
      <c r="D299" s="41" t="s">
        <v>1452</v>
      </c>
      <c r="E299" s="101" t="s">
        <v>22</v>
      </c>
      <c r="F299" s="101" t="s">
        <v>67</v>
      </c>
      <c r="G299" s="41" t="s">
        <v>29</v>
      </c>
      <c r="H299" s="41">
        <v>1</v>
      </c>
      <c r="I299" s="117">
        <f t="shared" si="130"/>
        <v>1.9E-2</v>
      </c>
      <c r="J299" s="117">
        <f t="shared" si="126"/>
        <v>1.9E-2</v>
      </c>
      <c r="K299" s="52"/>
      <c r="L299" s="53">
        <f t="shared" si="127"/>
        <v>1</v>
      </c>
      <c r="M299" s="69">
        <f t="shared" si="128"/>
        <v>190</v>
      </c>
      <c r="N299" s="55">
        <f>IFERROR(VLOOKUP(D299,元件库!$B:$O,10,FALSE),"1.00")</f>
        <v>1</v>
      </c>
      <c r="O299" s="337">
        <f>IFERROR(VLOOKUP(D299,元件库!$B:$O,11,FALSE),"")</f>
        <v>190</v>
      </c>
      <c r="P299" s="57" t="str">
        <f t="shared" si="129"/>
        <v/>
      </c>
    </row>
    <row r="300" spans="1:17" s="23" customFormat="1" ht="16.5" customHeight="1" x14ac:dyDescent="0.2">
      <c r="A300" s="363">
        <f>COUNTIF(L$1:L300,"!")</f>
        <v>22</v>
      </c>
      <c r="B300" s="364" t="str">
        <f>A300&amp;"."&amp;COUNTIF(A$3:A300,A300)-1</f>
        <v>22.11</v>
      </c>
      <c r="C300" s="100" t="str">
        <f>IFERROR(VLOOKUP(D300,元件库!$B:$O,3,FALSE),"")</f>
        <v/>
      </c>
      <c r="D300" s="41" t="s">
        <v>65</v>
      </c>
      <c r="E300" s="101" t="s">
        <v>22</v>
      </c>
      <c r="F300" s="101" t="s">
        <v>32</v>
      </c>
      <c r="G300" s="41" t="s">
        <v>29</v>
      </c>
      <c r="H300" s="41">
        <v>4</v>
      </c>
      <c r="I300" s="117" t="str">
        <f>IFERROR(ROUND(L300*M300/10000,4),"")</f>
        <v/>
      </c>
      <c r="J300" s="117" t="str">
        <f>IFERROR(I300*H300,"")</f>
        <v/>
      </c>
      <c r="K300" s="52"/>
      <c r="L300" s="53">
        <f t="shared" si="127"/>
        <v>1</v>
      </c>
      <c r="M300" s="69" t="str">
        <f>IFERROR(O300*N300,"")</f>
        <v/>
      </c>
      <c r="N300" s="55" t="str">
        <f>IFERROR(VLOOKUP(D300,元件库!$B:$O,10,FALSE),"1.00")</f>
        <v>1.00</v>
      </c>
      <c r="O300" s="337" t="str">
        <f>IFERROR(VLOOKUP(D300,元件库!$B:$O,11,FALSE),"")</f>
        <v/>
      </c>
      <c r="P300" s="57" t="str">
        <f>IF(_xlfn.ISFORMULA(O300),"","值")</f>
        <v/>
      </c>
    </row>
    <row r="301" spans="1:17" s="23" customFormat="1" ht="16.5" customHeight="1" x14ac:dyDescent="0.2">
      <c r="A301" s="363">
        <f>COUNTIF(L$1:L301,"!")</f>
        <v>22</v>
      </c>
      <c r="B301" s="364" t="str">
        <f>A301&amp;"."&amp;COUNTIF(A$3:A301,A301)-1</f>
        <v>22.12</v>
      </c>
      <c r="C301" s="100" t="str">
        <f>IFERROR(VLOOKUP(D301,元件库!$B:$O,3,FALSE),"")</f>
        <v/>
      </c>
      <c r="D301" s="41" t="s">
        <v>2882</v>
      </c>
      <c r="E301" s="101" t="s">
        <v>22</v>
      </c>
      <c r="F301" s="101" t="s">
        <v>32</v>
      </c>
      <c r="G301" s="41" t="s">
        <v>29</v>
      </c>
      <c r="H301" s="41">
        <v>18</v>
      </c>
      <c r="I301" s="117" t="str">
        <f>IFERROR(ROUND(L301*M301/10000,4),"")</f>
        <v/>
      </c>
      <c r="J301" s="117" t="str">
        <f>IFERROR(I301*H301,"")</f>
        <v/>
      </c>
      <c r="K301" s="52"/>
      <c r="L301" s="53">
        <f t="shared" si="127"/>
        <v>1</v>
      </c>
      <c r="M301" s="69" t="str">
        <f>IFERROR(O301*N301,"")</f>
        <v/>
      </c>
      <c r="N301" s="55" t="str">
        <f>IFERROR(VLOOKUP(D301,元件库!$B:$O,10,FALSE),"1.00")</f>
        <v>1.00</v>
      </c>
      <c r="O301" s="337" t="str">
        <f>IFERROR(VLOOKUP(D301,元件库!$B:$O,11,FALSE),"")</f>
        <v/>
      </c>
      <c r="P301" s="57" t="str">
        <f>IF(_xlfn.ISFORMULA(O301),"","值")</f>
        <v/>
      </c>
    </row>
    <row r="302" spans="1:17" s="23" customFormat="1" ht="16.5" customHeight="1" x14ac:dyDescent="0.2">
      <c r="A302" s="363">
        <f>COUNTIF(L$1:L302,"!")</f>
        <v>22</v>
      </c>
      <c r="B302" s="364" t="str">
        <f>A302&amp;"."&amp;COUNTIF(A$3:A302,A302)-1</f>
        <v>22.13</v>
      </c>
      <c r="C302" s="100" t="str">
        <f>IFERROR(VLOOKUP(D302,元件库!$B:$O,3,FALSE),"")</f>
        <v>指示灯</v>
      </c>
      <c r="D302" s="41" t="s">
        <v>35</v>
      </c>
      <c r="E302" s="101" t="s">
        <v>22</v>
      </c>
      <c r="F302" s="101" t="s">
        <v>32</v>
      </c>
      <c r="G302" s="41" t="s">
        <v>29</v>
      </c>
      <c r="H302" s="41">
        <v>14</v>
      </c>
      <c r="I302" s="117">
        <f>IFERROR(ROUND(L302*M302/10000,4),"")</f>
        <v>2.0000000000000001E-4</v>
      </c>
      <c r="J302" s="117">
        <f>IFERROR(I302*H302,"")</f>
        <v>2.8E-3</v>
      </c>
      <c r="K302" s="52"/>
      <c r="L302" s="53">
        <f t="shared" si="127"/>
        <v>1</v>
      </c>
      <c r="M302" s="69">
        <f>IFERROR(O302*N302,"")</f>
        <v>2.3100000000000005</v>
      </c>
      <c r="N302" s="55">
        <f>IFERROR(VLOOKUP(D302,元件库!$B:$O,10,FALSE),"1.00")</f>
        <v>0.55000000000000004</v>
      </c>
      <c r="O302" s="337">
        <f>IFERROR(VLOOKUP(D302,元件库!$B:$O,11,FALSE),"")</f>
        <v>4.2</v>
      </c>
      <c r="P302" s="57" t="str">
        <f>IF(_xlfn.ISFORMULA(O302),"","值")</f>
        <v/>
      </c>
    </row>
    <row r="303" spans="1:17" s="23" customFormat="1" ht="16.5" customHeight="1" x14ac:dyDescent="0.2">
      <c r="A303" s="363">
        <f>COUNTIF(L$1:L303,"!")</f>
        <v>22</v>
      </c>
      <c r="B303" s="364" t="str">
        <f>A303&amp;"."&amp;COUNTIF(A$3:A303,A303)-1</f>
        <v>22.14</v>
      </c>
      <c r="C303" s="100" t="str">
        <f>IFERROR(VLOOKUP(D303,元件库!$B:$O,3,FALSE),"")</f>
        <v>铜排</v>
      </c>
      <c r="D303" s="41" t="s">
        <v>2928</v>
      </c>
      <c r="E303" s="101" t="s">
        <v>37</v>
      </c>
      <c r="F303" s="101" t="s">
        <v>38</v>
      </c>
      <c r="G303" s="41" t="s">
        <v>39</v>
      </c>
      <c r="H303" s="41">
        <v>6</v>
      </c>
      <c r="I303" s="117">
        <f t="shared" ref="I303:I307" si="131">IFERROR(ROUND(L303*M303/10000,4),"")</f>
        <v>8.0999999999999996E-3</v>
      </c>
      <c r="J303" s="117">
        <f t="shared" ref="J303:J307" si="132">IFERROR(I303*H303,"")</f>
        <v>4.8599999999999997E-2</v>
      </c>
      <c r="K303" s="52"/>
      <c r="L303" s="53">
        <f t="shared" si="127"/>
        <v>1</v>
      </c>
      <c r="M303" s="69">
        <f t="shared" ref="M303:M307" si="133">IFERROR(O303*N303,"")</f>
        <v>81.167999999999992</v>
      </c>
      <c r="N303" s="55">
        <f>IFERROR(VLOOKUP(D303,元件库!$B:$O,10,FALSE),"1.00")</f>
        <v>1</v>
      </c>
      <c r="O303" s="337">
        <f>IFERROR(VLOOKUP(D303,元件库!$B:$O,11,FALSE),"")</f>
        <v>81.167999999999992</v>
      </c>
      <c r="P303" s="57" t="str">
        <f t="shared" ref="P303:P307" si="134">IF(_xlfn.ISFORMULA(O303),"","值")</f>
        <v/>
      </c>
    </row>
    <row r="304" spans="1:17" s="23" customFormat="1" ht="16.5" customHeight="1" x14ac:dyDescent="0.2">
      <c r="A304" s="363">
        <f>COUNTIF(L$1:L304,"!")</f>
        <v>22</v>
      </c>
      <c r="B304" s="364" t="str">
        <f>A304&amp;"."&amp;COUNTIF(A$3:A304,A304)-1</f>
        <v>22.15</v>
      </c>
      <c r="C304" s="100" t="s">
        <v>42</v>
      </c>
      <c r="D304" s="41" t="s">
        <v>2922</v>
      </c>
      <c r="E304" s="101" t="s">
        <v>37</v>
      </c>
      <c r="F304" s="101" t="s">
        <v>38</v>
      </c>
      <c r="G304" s="41" t="s">
        <v>39</v>
      </c>
      <c r="H304" s="41">
        <v>2.4</v>
      </c>
      <c r="I304" s="117">
        <f t="shared" si="131"/>
        <v>2.4400000000000002E-2</v>
      </c>
      <c r="J304" s="117">
        <f t="shared" si="132"/>
        <v>5.8560000000000001E-2</v>
      </c>
      <c r="K304" s="52"/>
      <c r="L304" s="53">
        <f t="shared" si="127"/>
        <v>1</v>
      </c>
      <c r="M304" s="69">
        <f t="shared" si="133"/>
        <v>243.50399999999999</v>
      </c>
      <c r="N304" s="55">
        <f>IFERROR(VLOOKUP(D304,元件库!$B:$O,10,FALSE),"1.00")</f>
        <v>1</v>
      </c>
      <c r="O304" s="337">
        <f>IFERROR(VLOOKUP(D304,元件库!$B:$O,11,FALSE),"")</f>
        <v>243.50399999999999</v>
      </c>
      <c r="P304" s="57" t="str">
        <f t="shared" si="134"/>
        <v/>
      </c>
    </row>
    <row r="305" spans="1:19" s="23" customFormat="1" ht="16.5" customHeight="1" x14ac:dyDescent="0.2">
      <c r="A305" s="363">
        <f>COUNTIF(L$1:L305,"!")</f>
        <v>22</v>
      </c>
      <c r="B305" s="364" t="str">
        <f>A305&amp;"."&amp;COUNTIF(A$3:A305,A305)-1</f>
        <v>22.16</v>
      </c>
      <c r="C305" s="100" t="s">
        <v>44</v>
      </c>
      <c r="D305" s="41" t="s">
        <v>2922</v>
      </c>
      <c r="E305" s="101" t="s">
        <v>37</v>
      </c>
      <c r="F305" s="101" t="s">
        <v>38</v>
      </c>
      <c r="G305" s="41" t="s">
        <v>39</v>
      </c>
      <c r="H305" s="41">
        <v>0.8</v>
      </c>
      <c r="I305" s="117">
        <f t="shared" si="131"/>
        <v>2.4400000000000002E-2</v>
      </c>
      <c r="J305" s="117">
        <f t="shared" si="132"/>
        <v>1.9520000000000003E-2</v>
      </c>
      <c r="K305" s="52"/>
      <c r="L305" s="53">
        <f t="shared" si="127"/>
        <v>1</v>
      </c>
      <c r="M305" s="69">
        <f t="shared" si="133"/>
        <v>243.50399999999999</v>
      </c>
      <c r="N305" s="55">
        <f>IFERROR(VLOOKUP(D305,元件库!$B:$O,10,FALSE),"1.00")</f>
        <v>1</v>
      </c>
      <c r="O305" s="337">
        <f>IFERROR(VLOOKUP(D305,元件库!$B:$O,11,FALSE),"")</f>
        <v>243.50399999999999</v>
      </c>
      <c r="P305" s="57" t="str">
        <f t="shared" si="134"/>
        <v/>
      </c>
    </row>
    <row r="306" spans="1:19" s="23" customFormat="1" ht="16.5" customHeight="1" x14ac:dyDescent="0.2">
      <c r="A306" s="363">
        <f>COUNTIF(L$1:L306,"!")</f>
        <v>22</v>
      </c>
      <c r="B306" s="364" t="str">
        <f>A306&amp;"."&amp;COUNTIF(A$3:A306,A306)-1</f>
        <v>22.17</v>
      </c>
      <c r="C306" s="100" t="s">
        <v>45</v>
      </c>
      <c r="D306" s="41" t="s">
        <v>2923</v>
      </c>
      <c r="E306" s="101" t="s">
        <v>37</v>
      </c>
      <c r="F306" s="101" t="s">
        <v>38</v>
      </c>
      <c r="G306" s="41" t="s">
        <v>39</v>
      </c>
      <c r="H306" s="41">
        <v>0.8</v>
      </c>
      <c r="I306" s="117">
        <f t="shared" si="131"/>
        <v>1.2699999999999999E-2</v>
      </c>
      <c r="J306" s="117">
        <f t="shared" si="132"/>
        <v>1.0160000000000001E-2</v>
      </c>
      <c r="K306" s="52"/>
      <c r="L306" s="53">
        <f t="shared" si="127"/>
        <v>1</v>
      </c>
      <c r="M306" s="69">
        <f t="shared" si="133"/>
        <v>126.82499999999999</v>
      </c>
      <c r="N306" s="55">
        <f>IFERROR(VLOOKUP(D306,元件库!$B:$O,10,FALSE),"1.00")</f>
        <v>1</v>
      </c>
      <c r="O306" s="337">
        <f>IFERROR(VLOOKUP(D306,元件库!$B:$O,11,FALSE),"")</f>
        <v>126.82499999999999</v>
      </c>
      <c r="P306" s="57" t="str">
        <f t="shared" si="134"/>
        <v/>
      </c>
    </row>
    <row r="307" spans="1:19" s="23" customFormat="1" ht="16.5" customHeight="1" x14ac:dyDescent="0.2">
      <c r="A307" s="363">
        <f>COUNTIF(L$1:L307,"!")</f>
        <v>22</v>
      </c>
      <c r="B307" s="364" t="str">
        <f>A307&amp;"."&amp;COUNTIF(A$3:A307,A307)-1</f>
        <v>22.18</v>
      </c>
      <c r="C307" s="100" t="s">
        <v>51</v>
      </c>
      <c r="D307" s="41"/>
      <c r="E307" s="101"/>
      <c r="F307" s="101"/>
      <c r="G307" s="41" t="s">
        <v>2887</v>
      </c>
      <c r="H307" s="41">
        <v>1</v>
      </c>
      <c r="I307" s="117">
        <f t="shared" si="131"/>
        <v>0.13</v>
      </c>
      <c r="J307" s="117">
        <f t="shared" si="132"/>
        <v>0.13</v>
      </c>
      <c r="K307" s="52"/>
      <c r="L307" s="53">
        <f t="shared" si="127"/>
        <v>1</v>
      </c>
      <c r="M307" s="69">
        <f t="shared" si="133"/>
        <v>1300</v>
      </c>
      <c r="N307" s="55">
        <v>1</v>
      </c>
      <c r="O307" s="337">
        <v>1300</v>
      </c>
      <c r="P307" s="57" t="str">
        <f t="shared" si="134"/>
        <v>值</v>
      </c>
    </row>
    <row r="308" spans="1:19" s="23" customFormat="1" ht="27" customHeight="1" x14ac:dyDescent="0.2">
      <c r="A308" s="363">
        <f>COUNTIF(L$1:L308,"!")</f>
        <v>22</v>
      </c>
      <c r="B308" s="364" t="str">
        <f>A308&amp;"."&amp;COUNTIF(A$3:A308,A308)-1</f>
        <v>22.19</v>
      </c>
      <c r="C308" s="103" t="s">
        <v>53</v>
      </c>
      <c r="D308" s="104"/>
      <c r="E308" s="365"/>
      <c r="F308" s="101"/>
      <c r="G308" s="104"/>
      <c r="H308" s="104" t="s">
        <v>1</v>
      </c>
      <c r="I308" s="118" t="s">
        <v>52</v>
      </c>
      <c r="J308" s="366"/>
      <c r="K308" s="104"/>
      <c r="L308" s="53"/>
      <c r="M308" s="119"/>
      <c r="N308" s="70"/>
      <c r="O308" s="337"/>
    </row>
    <row r="309" spans="1:19" s="30" customFormat="1" ht="27" customHeight="1" x14ac:dyDescent="0.2">
      <c r="A309" s="363">
        <f>COUNTIF(L$1:L309,"!")</f>
        <v>22</v>
      </c>
      <c r="B309" s="364" t="str">
        <f>A309&amp;"."&amp;COUNTIF(A$3:A309,A309)-1</f>
        <v>22.20</v>
      </c>
      <c r="C309" s="103" t="s">
        <v>54</v>
      </c>
      <c r="D309" s="104"/>
      <c r="E309" s="365"/>
      <c r="F309" s="101"/>
      <c r="G309" s="104"/>
      <c r="H309" s="104"/>
      <c r="I309" s="118" t="s">
        <v>1</v>
      </c>
      <c r="J309" s="120">
        <f>SUM(J290:J308)</f>
        <v>1.2615400000000001</v>
      </c>
      <c r="K309" s="104"/>
      <c r="L309" s="53"/>
      <c r="M309" s="119"/>
      <c r="N309" s="70"/>
      <c r="O309" s="337"/>
      <c r="Q309" s="90"/>
    </row>
    <row r="310" spans="1:19" s="23" customFormat="1" ht="16.5" customHeight="1" x14ac:dyDescent="0.15">
      <c r="A310" s="97">
        <f>COUNTIF(L$1:L310,"!")</f>
        <v>23</v>
      </c>
      <c r="B310" s="32" t="str">
        <f>COUNTIF(L$2:L310,"!")&amp;"."</f>
        <v>23.</v>
      </c>
      <c r="C310" s="47" t="s">
        <v>2929</v>
      </c>
      <c r="D310" s="35" t="s">
        <v>2930</v>
      </c>
      <c r="E310" s="367" t="s">
        <v>22</v>
      </c>
      <c r="F310" s="367" t="s">
        <v>3261</v>
      </c>
      <c r="G310" s="34" t="s">
        <v>23</v>
      </c>
      <c r="H310" s="98">
        <v>1</v>
      </c>
      <c r="I310" s="115">
        <f>LOOKUP(0,0/((A310:A337=A310)*(C310:C337="合计金额（单位完整货物单价）")),J310:J337)</f>
        <v>3.0379999999999998</v>
      </c>
      <c r="J310" s="116">
        <f>IFERROR(I310*H310,"")</f>
        <v>3.0379999999999998</v>
      </c>
      <c r="K310" s="34"/>
      <c r="L310" s="48" t="s">
        <v>24</v>
      </c>
      <c r="M310" s="49"/>
      <c r="N310" s="50"/>
      <c r="O310" s="51"/>
      <c r="Q310" s="360">
        <f>COUNTIF(L$3:L310,"#")</f>
        <v>3</v>
      </c>
    </row>
    <row r="311" spans="1:19" s="23" customFormat="1" ht="16.5" customHeight="1" x14ac:dyDescent="0.2">
      <c r="A311" s="363">
        <f>COUNTIF(L$1:L311,"!")</f>
        <v>23</v>
      </c>
      <c r="B311" s="364" t="str">
        <f>A311&amp;"."&amp;COUNTIF(A$3:A311,A311)-1</f>
        <v>23.1</v>
      </c>
      <c r="C311" s="100" t="s">
        <v>2931</v>
      </c>
      <c r="D311" s="41" t="s">
        <v>2932</v>
      </c>
      <c r="E311" s="101" t="s">
        <v>2883</v>
      </c>
      <c r="F311" s="100" t="s">
        <v>3261</v>
      </c>
      <c r="G311" s="100" t="str">
        <f>G310</f>
        <v>台</v>
      </c>
      <c r="H311" s="41">
        <v>1</v>
      </c>
      <c r="I311" s="117">
        <f t="shared" ref="I311:I312" si="135">IFERROR(ROUND(L311*M311/10000,4),"")</f>
        <v>2.8079999999999998</v>
      </c>
      <c r="J311" s="117">
        <f t="shared" ref="J311:J312" si="136">IFERROR(I311*H311,"")</f>
        <v>2.8079999999999998</v>
      </c>
      <c r="K311" s="52"/>
      <c r="L311" s="53">
        <f t="shared" ref="L311:L312" si="137">L$2</f>
        <v>1</v>
      </c>
      <c r="M311" s="69">
        <f t="shared" ref="M311:M312" si="138">IFERROR(O311*N311,"")</f>
        <v>28080</v>
      </c>
      <c r="N311" s="55">
        <v>1</v>
      </c>
      <c r="O311" s="337">
        <f>R311*S311</f>
        <v>28080</v>
      </c>
      <c r="P311" s="57" t="str">
        <f t="shared" ref="P311:P312" si="139">IF(_xlfn.ISFORMULA(O311),"","值")</f>
        <v/>
      </c>
      <c r="Q311" s="30" t="s">
        <v>2930</v>
      </c>
      <c r="R311" s="30">
        <v>3000</v>
      </c>
      <c r="S311" s="24">
        <f>(MID(D311,FIND(" ",D311)+1,FIND("*",D311)-FIND(" ",D311)-1)*MID(D311,FIND("*",D311)+1,FIND("*",MID(D311,FIND("*",D311)+1,30))-1))/1000000*IF(ROUND(RIGHT(D311,4),0)&gt;2650,1/2.65*2.95,1)</f>
        <v>9.36</v>
      </c>
    </row>
    <row r="312" spans="1:19" s="23" customFormat="1" ht="16.5" customHeight="1" x14ac:dyDescent="0.2">
      <c r="A312" s="363">
        <f>COUNTIF(L$1:L312,"!")</f>
        <v>23</v>
      </c>
      <c r="B312" s="364" t="str">
        <f>A312&amp;"."&amp;COUNTIF(A$3:A312,A312)-1</f>
        <v>23.2</v>
      </c>
      <c r="C312" s="100" t="s">
        <v>51</v>
      </c>
      <c r="D312" s="41"/>
      <c r="E312" s="101"/>
      <c r="F312" s="101"/>
      <c r="G312" s="41" t="s">
        <v>2887</v>
      </c>
      <c r="H312" s="41">
        <v>1</v>
      </c>
      <c r="I312" s="117">
        <f t="shared" si="135"/>
        <v>0.23</v>
      </c>
      <c r="J312" s="117">
        <f t="shared" si="136"/>
        <v>0.23</v>
      </c>
      <c r="K312" s="52"/>
      <c r="L312" s="53">
        <f t="shared" si="137"/>
        <v>1</v>
      </c>
      <c r="M312" s="69">
        <f t="shared" si="138"/>
        <v>2300</v>
      </c>
      <c r="N312" s="55">
        <v>1</v>
      </c>
      <c r="O312" s="56">
        <v>2300</v>
      </c>
      <c r="P312" s="57" t="str">
        <f t="shared" si="139"/>
        <v>值</v>
      </c>
    </row>
    <row r="313" spans="1:19" s="23" customFormat="1" ht="27" customHeight="1" x14ac:dyDescent="0.2">
      <c r="A313" s="363">
        <f>COUNTIF(L$1:L313,"!")</f>
        <v>23</v>
      </c>
      <c r="B313" s="364" t="str">
        <f>A313&amp;"."&amp;COUNTIF(A$3:A313,A313)-1</f>
        <v>23.3</v>
      </c>
      <c r="C313" s="103" t="s">
        <v>53</v>
      </c>
      <c r="D313" s="104"/>
      <c r="E313" s="365"/>
      <c r="F313" s="101"/>
      <c r="G313" s="104"/>
      <c r="H313" s="104" t="s">
        <v>1</v>
      </c>
      <c r="I313" s="118" t="s">
        <v>52</v>
      </c>
      <c r="J313" s="366"/>
      <c r="K313" s="104"/>
      <c r="L313" s="53"/>
      <c r="M313" s="119"/>
      <c r="N313" s="70"/>
      <c r="O313" s="337"/>
    </row>
    <row r="314" spans="1:19" s="30" customFormat="1" ht="27" customHeight="1" x14ac:dyDescent="0.2">
      <c r="A314" s="363">
        <f>COUNTIF(L$1:L314,"!")</f>
        <v>23</v>
      </c>
      <c r="B314" s="364" t="str">
        <f>A314&amp;"."&amp;COUNTIF(A$3:A314,A314)-1</f>
        <v>23.4</v>
      </c>
      <c r="C314" s="103" t="s">
        <v>54</v>
      </c>
      <c r="D314" s="104"/>
      <c r="E314" s="365"/>
      <c r="F314" s="101"/>
      <c r="G314" s="104"/>
      <c r="H314" s="104"/>
      <c r="I314" s="118" t="s">
        <v>1</v>
      </c>
      <c r="J314" s="120">
        <f>SUM(J311:J313)</f>
        <v>3.0379999999999998</v>
      </c>
      <c r="K314" s="104"/>
      <c r="L314" s="53"/>
      <c r="M314" s="119"/>
      <c r="N314" s="70"/>
      <c r="O314" s="337"/>
      <c r="Q314" s="90"/>
    </row>
    <row r="315" spans="1:19" s="30" customFormat="1" ht="16.5" customHeight="1" x14ac:dyDescent="0.2">
      <c r="A315" s="83" t="s">
        <v>2933</v>
      </c>
      <c r="B315" s="94" t="s">
        <v>8</v>
      </c>
      <c r="C315" s="94" t="s">
        <v>9</v>
      </c>
      <c r="D315" s="95" t="s">
        <v>10</v>
      </c>
      <c r="E315" s="95" t="s">
        <v>11</v>
      </c>
      <c r="F315" s="96" t="s">
        <v>12</v>
      </c>
      <c r="G315" s="94" t="s">
        <v>13</v>
      </c>
      <c r="H315" s="94" t="s">
        <v>14</v>
      </c>
      <c r="I315" s="110" t="s">
        <v>15</v>
      </c>
      <c r="J315" s="111" t="s">
        <v>16</v>
      </c>
      <c r="K315" s="112" t="s">
        <v>17</v>
      </c>
      <c r="L315" s="113" t="s">
        <v>18</v>
      </c>
      <c r="M315" s="114" t="s">
        <v>19</v>
      </c>
      <c r="N315" s="114" t="s">
        <v>20</v>
      </c>
      <c r="O315" s="114" t="s">
        <v>21</v>
      </c>
      <c r="P315" s="349"/>
      <c r="Q315" s="90"/>
    </row>
    <row r="316" spans="1:19" ht="16.5" customHeight="1" x14ac:dyDescent="0.2">
      <c r="A316" s="83" t="s">
        <v>2768</v>
      </c>
      <c r="B316" s="350">
        <f>COUNTIF(L$1:L316,"#")</f>
        <v>4</v>
      </c>
      <c r="C316" s="351" t="s">
        <v>2934</v>
      </c>
      <c r="D316" s="352" t="s">
        <v>2935</v>
      </c>
      <c r="E316" s="353" t="s">
        <v>22</v>
      </c>
      <c r="F316" s="353" t="s">
        <v>3261</v>
      </c>
      <c r="G316" s="353" t="s">
        <v>23</v>
      </c>
      <c r="H316" s="353">
        <v>1</v>
      </c>
      <c r="I316" s="354">
        <f>SUMIF(Q317:Q731,B316,J317:J731)</f>
        <v>21.976470000000003</v>
      </c>
      <c r="J316" s="355">
        <f>IFERROR(I316*H316,"")</f>
        <v>21.976470000000003</v>
      </c>
      <c r="K316" s="356" t="s">
        <v>2909</v>
      </c>
      <c r="L316" s="357" t="s">
        <v>2772</v>
      </c>
      <c r="M316" s="358"/>
      <c r="N316" s="358"/>
      <c r="O316" s="358"/>
      <c r="P316" s="359"/>
      <c r="Q316" s="360"/>
      <c r="R316" s="30"/>
    </row>
    <row r="317" spans="1:19" ht="16.5" customHeight="1" x14ac:dyDescent="0.15">
      <c r="A317" s="97">
        <f>COUNTIF(L$1:L317,"!")</f>
        <v>24</v>
      </c>
      <c r="B317" s="32" t="str">
        <f>COUNTIF(L$2:L318,"!")&amp;"."</f>
        <v>24.</v>
      </c>
      <c r="C317" s="47" t="s">
        <v>2773</v>
      </c>
      <c r="D317" s="35" t="s">
        <v>2936</v>
      </c>
      <c r="E317" s="99" t="s">
        <v>22</v>
      </c>
      <c r="F317" s="99" t="s">
        <v>3261</v>
      </c>
      <c r="G317" s="34" t="s">
        <v>23</v>
      </c>
      <c r="H317" s="98">
        <v>1</v>
      </c>
      <c r="I317" s="115">
        <f>LOOKUP(0,0/((A317:A406=A317)*(C317:C406="合计金额（单位完整货物单价）")),J317:J406)</f>
        <v>11.120000000000001</v>
      </c>
      <c r="J317" s="116">
        <f>IFERROR(I317*H317,"")</f>
        <v>11.120000000000001</v>
      </c>
      <c r="K317" s="34"/>
      <c r="L317" s="48" t="s">
        <v>24</v>
      </c>
      <c r="M317" s="49"/>
      <c r="N317" s="50"/>
      <c r="O317" s="362"/>
      <c r="P317" s="23"/>
      <c r="Q317" s="360">
        <f>COUNTIF(L$3:L317,"#")</f>
        <v>4</v>
      </c>
      <c r="R317" s="23"/>
    </row>
    <row r="318" spans="1:19" ht="16.5" customHeight="1" x14ac:dyDescent="0.2">
      <c r="A318" s="363">
        <f>COUNTIF(L$1:L318,"!")</f>
        <v>24</v>
      </c>
      <c r="B318" s="364" t="str">
        <f>A318&amp;"."&amp;COUNTIF(A$3:A318,A318)-1</f>
        <v>24.1</v>
      </c>
      <c r="C318" s="100" t="s">
        <v>2937</v>
      </c>
      <c r="D318" s="41" t="s">
        <v>2938</v>
      </c>
      <c r="E318" s="101" t="s">
        <v>22</v>
      </c>
      <c r="F318" s="101" t="s">
        <v>2939</v>
      </c>
      <c r="G318" s="41" t="s">
        <v>23</v>
      </c>
      <c r="H318" s="41">
        <v>1</v>
      </c>
      <c r="I318" s="117">
        <f>IFERROR(ROUND(L318*M318/10000,4),"")</f>
        <v>1.5</v>
      </c>
      <c r="J318" s="117">
        <f t="shared" ref="J318:J335" si="140">IFERROR(I318*H318,"")</f>
        <v>1.5</v>
      </c>
      <c r="K318" s="52"/>
      <c r="L318" s="53">
        <f t="shared" ref="L318:L335" si="141">L$2</f>
        <v>1</v>
      </c>
      <c r="M318" s="69">
        <f t="shared" ref="M318:M335" si="142">IFERROR(O318*N318,"")</f>
        <v>15000</v>
      </c>
      <c r="N318" s="55">
        <v>1</v>
      </c>
      <c r="O318" s="337">
        <v>15000</v>
      </c>
      <c r="P318" s="57" t="str">
        <f t="shared" ref="P318:P335" si="143">IF(_xlfn.ISFORMULA(O318),"","值")</f>
        <v>值</v>
      </c>
      <c r="Q318" s="90"/>
      <c r="R318" s="23"/>
    </row>
    <row r="319" spans="1:19" ht="16.5" customHeight="1" x14ac:dyDescent="0.2">
      <c r="A319" s="363">
        <f>COUNTIF(L$1:L319,"!")</f>
        <v>24</v>
      </c>
      <c r="B319" s="364" t="str">
        <f>A319&amp;"."&amp;COUNTIF(A$3:A319,A319)-1</f>
        <v>24.2</v>
      </c>
      <c r="C319" s="100" t="s">
        <v>2937</v>
      </c>
      <c r="D319" s="41" t="s">
        <v>2940</v>
      </c>
      <c r="E319" s="101" t="s">
        <v>22</v>
      </c>
      <c r="F319" s="101" t="s">
        <v>2939</v>
      </c>
      <c r="G319" s="41" t="s">
        <v>23</v>
      </c>
      <c r="H319" s="41">
        <v>1</v>
      </c>
      <c r="I319" s="117">
        <f t="shared" ref="I319:I335" si="144">IFERROR(ROUND(L319*M319/10000,4),"")</f>
        <v>1.4125000000000001</v>
      </c>
      <c r="J319" s="117">
        <f t="shared" si="140"/>
        <v>1.4125000000000001</v>
      </c>
      <c r="K319" s="52"/>
      <c r="L319" s="53">
        <f t="shared" si="141"/>
        <v>1</v>
      </c>
      <c r="M319" s="69">
        <f t="shared" si="142"/>
        <v>14125</v>
      </c>
      <c r="N319" s="55">
        <v>1</v>
      </c>
      <c r="O319" s="337">
        <v>14125</v>
      </c>
      <c r="P319" s="57" t="str">
        <f t="shared" si="143"/>
        <v>值</v>
      </c>
      <c r="Q319" s="90"/>
      <c r="R319" s="23"/>
    </row>
    <row r="320" spans="1:19" ht="16.5" customHeight="1" x14ac:dyDescent="0.2">
      <c r="A320" s="363">
        <f>COUNTIF(L$1:L320,"!")</f>
        <v>24</v>
      </c>
      <c r="B320" s="364" t="str">
        <f>A320&amp;"."&amp;COUNTIF(A$3:A320,A320)-1</f>
        <v>24.3</v>
      </c>
      <c r="C320" s="100" t="s">
        <v>2937</v>
      </c>
      <c r="D320" s="41" t="s">
        <v>2941</v>
      </c>
      <c r="E320" s="101" t="s">
        <v>22</v>
      </c>
      <c r="F320" s="101" t="s">
        <v>2939</v>
      </c>
      <c r="G320" s="41" t="s">
        <v>23</v>
      </c>
      <c r="H320" s="41">
        <v>1</v>
      </c>
      <c r="I320" s="117">
        <f t="shared" si="144"/>
        <v>1.4125000000000001</v>
      </c>
      <c r="J320" s="117">
        <f t="shared" si="140"/>
        <v>1.4125000000000001</v>
      </c>
      <c r="K320" s="52"/>
      <c r="L320" s="53">
        <f t="shared" si="141"/>
        <v>1</v>
      </c>
      <c r="M320" s="69">
        <f t="shared" si="142"/>
        <v>14125</v>
      </c>
      <c r="N320" s="55">
        <v>1</v>
      </c>
      <c r="O320" s="337">
        <v>14125</v>
      </c>
      <c r="P320" s="57" t="str">
        <f t="shared" si="143"/>
        <v>值</v>
      </c>
      <c r="Q320" s="23"/>
      <c r="R320" s="23"/>
    </row>
    <row r="321" spans="1:18" ht="16.5" customHeight="1" x14ac:dyDescent="0.2">
      <c r="A321" s="363">
        <f>COUNTIF(L$1:L321,"!")</f>
        <v>24</v>
      </c>
      <c r="B321" s="364" t="str">
        <f>A321&amp;"."&amp;COUNTIF(A$3:A321,A321)-1</f>
        <v>24.4</v>
      </c>
      <c r="C321" s="100" t="s">
        <v>2937</v>
      </c>
      <c r="D321" s="41" t="s">
        <v>2942</v>
      </c>
      <c r="E321" s="101" t="s">
        <v>22</v>
      </c>
      <c r="F321" s="101" t="s">
        <v>2943</v>
      </c>
      <c r="G321" s="41" t="s">
        <v>23</v>
      </c>
      <c r="H321" s="41">
        <v>1</v>
      </c>
      <c r="I321" s="117">
        <f t="shared" si="144"/>
        <v>1.7749999999999999</v>
      </c>
      <c r="J321" s="117">
        <f t="shared" si="140"/>
        <v>1.7749999999999999</v>
      </c>
      <c r="K321" s="52"/>
      <c r="L321" s="53">
        <f t="shared" si="141"/>
        <v>1</v>
      </c>
      <c r="M321" s="69">
        <f t="shared" si="142"/>
        <v>17750</v>
      </c>
      <c r="N321" s="55">
        <v>1</v>
      </c>
      <c r="O321" s="337">
        <v>17750</v>
      </c>
      <c r="P321" s="57" t="str">
        <f t="shared" si="143"/>
        <v>值</v>
      </c>
      <c r="Q321" s="23"/>
      <c r="R321" s="23"/>
    </row>
    <row r="322" spans="1:18" ht="16.5" customHeight="1" x14ac:dyDescent="0.2">
      <c r="A322" s="363">
        <f>COUNTIF(L$1:L322,"!")</f>
        <v>24</v>
      </c>
      <c r="B322" s="364" t="str">
        <f>A322&amp;"."&amp;COUNTIF(A$3:A322,A322)-1</f>
        <v>24.5</v>
      </c>
      <c r="C322" s="100" t="s">
        <v>61</v>
      </c>
      <c r="D322" s="41" t="s">
        <v>2781</v>
      </c>
      <c r="E322" s="101" t="s">
        <v>2944</v>
      </c>
      <c r="F322" s="101" t="s">
        <v>2945</v>
      </c>
      <c r="G322" s="41" t="s">
        <v>29</v>
      </c>
      <c r="H322" s="41">
        <v>9</v>
      </c>
      <c r="I322" s="117">
        <f t="shared" si="144"/>
        <v>0.03</v>
      </c>
      <c r="J322" s="117">
        <f t="shared" si="140"/>
        <v>0.27</v>
      </c>
      <c r="K322" s="52"/>
      <c r="L322" s="53">
        <f t="shared" si="141"/>
        <v>1</v>
      </c>
      <c r="M322" s="69">
        <f t="shared" si="142"/>
        <v>300</v>
      </c>
      <c r="N322" s="55">
        <v>1</v>
      </c>
      <c r="O322" s="337">
        <v>300</v>
      </c>
      <c r="P322" s="57" t="str">
        <f t="shared" si="143"/>
        <v>值</v>
      </c>
      <c r="Q322" s="23"/>
      <c r="R322" s="23"/>
    </row>
    <row r="323" spans="1:18" ht="16.5" customHeight="1" x14ac:dyDescent="0.2">
      <c r="A323" s="363">
        <f>COUNTIF(L$1:L323,"!")</f>
        <v>24</v>
      </c>
      <c r="B323" s="364" t="str">
        <f>A323&amp;"."&amp;COUNTIF(A$3:A323,A323)-1</f>
        <v>24.6</v>
      </c>
      <c r="C323" s="100" t="s">
        <v>111</v>
      </c>
      <c r="D323" s="41" t="s">
        <v>2946</v>
      </c>
      <c r="E323" s="101" t="s">
        <v>2944</v>
      </c>
      <c r="F323" s="101" t="s">
        <v>2945</v>
      </c>
      <c r="G323" s="41" t="s">
        <v>29</v>
      </c>
      <c r="H323" s="41">
        <v>1</v>
      </c>
      <c r="I323" s="117">
        <f t="shared" si="144"/>
        <v>0.38750000000000001</v>
      </c>
      <c r="J323" s="117">
        <f t="shared" si="140"/>
        <v>0.38750000000000001</v>
      </c>
      <c r="K323" s="52"/>
      <c r="L323" s="53">
        <f t="shared" si="141"/>
        <v>1</v>
      </c>
      <c r="M323" s="69">
        <f t="shared" si="142"/>
        <v>3875</v>
      </c>
      <c r="N323" s="55">
        <v>1</v>
      </c>
      <c r="O323" s="337">
        <v>3875</v>
      </c>
      <c r="P323" s="57" t="str">
        <f t="shared" si="143"/>
        <v>值</v>
      </c>
      <c r="Q323" s="23"/>
      <c r="R323" s="23"/>
    </row>
    <row r="324" spans="1:18" ht="16.5" customHeight="1" x14ac:dyDescent="0.2">
      <c r="A324" s="363">
        <f>COUNTIF(L$1:L324,"!")</f>
        <v>24</v>
      </c>
      <c r="B324" s="364" t="str">
        <f>A324&amp;"."&amp;COUNTIF(A$3:A324,A324)-1</f>
        <v>24.7</v>
      </c>
      <c r="C324" s="100" t="s">
        <v>160</v>
      </c>
      <c r="D324" s="102" t="s">
        <v>161</v>
      </c>
      <c r="E324" s="101" t="s">
        <v>2947</v>
      </c>
      <c r="F324" s="101" t="s">
        <v>2948</v>
      </c>
      <c r="G324" s="41" t="s">
        <v>48</v>
      </c>
      <c r="H324" s="41">
        <v>3</v>
      </c>
      <c r="I324" s="117">
        <f t="shared" si="144"/>
        <v>1.4999999999999999E-2</v>
      </c>
      <c r="J324" s="117">
        <f t="shared" si="140"/>
        <v>4.4999999999999998E-2</v>
      </c>
      <c r="K324" s="52"/>
      <c r="L324" s="53">
        <f t="shared" si="141"/>
        <v>1</v>
      </c>
      <c r="M324" s="69">
        <f t="shared" si="142"/>
        <v>150</v>
      </c>
      <c r="N324" s="55">
        <v>1</v>
      </c>
      <c r="O324" s="337">
        <v>150</v>
      </c>
      <c r="P324" s="57" t="str">
        <f t="shared" si="143"/>
        <v>值</v>
      </c>
      <c r="Q324" s="23"/>
      <c r="R324" s="23"/>
    </row>
    <row r="325" spans="1:18" ht="16.5" customHeight="1" x14ac:dyDescent="0.2">
      <c r="A325" s="363">
        <f>COUNTIF(L$1:L325,"!")</f>
        <v>24</v>
      </c>
      <c r="B325" s="364" t="str">
        <f>A325&amp;"."&amp;COUNTIF(A$3:A325,A325)-1</f>
        <v>24.8</v>
      </c>
      <c r="C325" s="100" t="s">
        <v>2787</v>
      </c>
      <c r="D325" s="41" t="s">
        <v>2788</v>
      </c>
      <c r="E325" s="101" t="s">
        <v>2947</v>
      </c>
      <c r="F325" s="101" t="s">
        <v>2949</v>
      </c>
      <c r="G325" s="41" t="s">
        <v>134</v>
      </c>
      <c r="H325" s="41">
        <v>3</v>
      </c>
      <c r="I325" s="117">
        <f t="shared" si="144"/>
        <v>0.05</v>
      </c>
      <c r="J325" s="117">
        <f t="shared" si="140"/>
        <v>0.15000000000000002</v>
      </c>
      <c r="K325" s="52"/>
      <c r="L325" s="53">
        <f t="shared" si="141"/>
        <v>1</v>
      </c>
      <c r="M325" s="69">
        <f t="shared" si="142"/>
        <v>500</v>
      </c>
      <c r="N325" s="55">
        <v>1</v>
      </c>
      <c r="O325" s="337">
        <v>500</v>
      </c>
      <c r="P325" s="57" t="str">
        <f t="shared" si="143"/>
        <v>值</v>
      </c>
      <c r="Q325" s="90"/>
      <c r="R325" s="23"/>
    </row>
    <row r="326" spans="1:18" ht="16.5" customHeight="1" x14ac:dyDescent="0.2">
      <c r="A326" s="363">
        <f>COUNTIF(L$1:L326,"!")</f>
        <v>24</v>
      </c>
      <c r="B326" s="364" t="str">
        <f>A326&amp;"."&amp;COUNTIF(A$3:A326,A326)-1</f>
        <v>24.9</v>
      </c>
      <c r="C326" s="100" t="s">
        <v>162</v>
      </c>
      <c r="D326" s="41" t="s">
        <v>2791</v>
      </c>
      <c r="E326" s="101" t="s">
        <v>2947</v>
      </c>
      <c r="F326" s="101" t="s">
        <v>2949</v>
      </c>
      <c r="G326" s="41" t="s">
        <v>134</v>
      </c>
      <c r="H326" s="41">
        <v>4</v>
      </c>
      <c r="I326" s="117">
        <f t="shared" si="144"/>
        <v>7.7499999999999999E-2</v>
      </c>
      <c r="J326" s="117">
        <f t="shared" si="140"/>
        <v>0.31</v>
      </c>
      <c r="K326" s="52"/>
      <c r="L326" s="53">
        <f t="shared" si="141"/>
        <v>1</v>
      </c>
      <c r="M326" s="69">
        <f t="shared" si="142"/>
        <v>775</v>
      </c>
      <c r="N326" s="55">
        <v>1</v>
      </c>
      <c r="O326" s="337">
        <v>775</v>
      </c>
      <c r="P326" s="57" t="str">
        <f t="shared" si="143"/>
        <v>值</v>
      </c>
      <c r="Q326" s="23"/>
      <c r="R326" s="23"/>
    </row>
    <row r="327" spans="1:18" ht="16.5" customHeight="1" x14ac:dyDescent="0.2">
      <c r="A327" s="363">
        <f>COUNTIF(L$1:L327,"!")</f>
        <v>24</v>
      </c>
      <c r="B327" s="364" t="str">
        <f>A327&amp;"."&amp;COUNTIF(A$3:A327,A327)-1</f>
        <v>24.10</v>
      </c>
      <c r="C327" s="100" t="s">
        <v>2950</v>
      </c>
      <c r="D327" s="41" t="s">
        <v>2951</v>
      </c>
      <c r="E327" s="101" t="s">
        <v>2952</v>
      </c>
      <c r="F327" s="101" t="s">
        <v>2949</v>
      </c>
      <c r="G327" s="41" t="s">
        <v>48</v>
      </c>
      <c r="H327" s="41">
        <v>3</v>
      </c>
      <c r="I327" s="117">
        <f t="shared" si="144"/>
        <v>0.23749999999999999</v>
      </c>
      <c r="J327" s="117">
        <f t="shared" si="140"/>
        <v>0.71249999999999991</v>
      </c>
      <c r="K327" s="52"/>
      <c r="L327" s="53">
        <f t="shared" si="141"/>
        <v>1</v>
      </c>
      <c r="M327" s="69">
        <f t="shared" si="142"/>
        <v>2375</v>
      </c>
      <c r="N327" s="55">
        <v>1</v>
      </c>
      <c r="O327" s="337">
        <v>2375</v>
      </c>
      <c r="P327" s="57" t="str">
        <f t="shared" si="143"/>
        <v>值</v>
      </c>
      <c r="Q327" s="90"/>
      <c r="R327" s="23"/>
    </row>
    <row r="328" spans="1:18" ht="16.5" customHeight="1" x14ac:dyDescent="0.2">
      <c r="A328" s="363">
        <f>COUNTIF(L$1:L328,"!")</f>
        <v>24</v>
      </c>
      <c r="B328" s="364" t="str">
        <f>A328&amp;"."&amp;COUNTIF(A$3:A328,A328)-1</f>
        <v>24.11</v>
      </c>
      <c r="C328" s="100" t="s">
        <v>2795</v>
      </c>
      <c r="D328" s="41" t="s">
        <v>2796</v>
      </c>
      <c r="E328" s="101" t="s">
        <v>2953</v>
      </c>
      <c r="F328" s="101" t="s">
        <v>2954</v>
      </c>
      <c r="G328" s="41" t="s">
        <v>23</v>
      </c>
      <c r="H328" s="41">
        <v>1</v>
      </c>
      <c r="I328" s="117">
        <f t="shared" si="144"/>
        <v>0.15</v>
      </c>
      <c r="J328" s="117">
        <f t="shared" si="140"/>
        <v>0.15</v>
      </c>
      <c r="K328" s="52"/>
      <c r="L328" s="53">
        <f t="shared" si="141"/>
        <v>1</v>
      </c>
      <c r="M328" s="69">
        <f t="shared" si="142"/>
        <v>1500</v>
      </c>
      <c r="N328" s="55">
        <v>1</v>
      </c>
      <c r="O328" s="337">
        <v>1500</v>
      </c>
      <c r="P328" s="57" t="str">
        <f t="shared" si="143"/>
        <v>值</v>
      </c>
      <c r="Q328" s="23"/>
      <c r="R328" s="23"/>
    </row>
    <row r="329" spans="1:18" ht="16.5" customHeight="1" x14ac:dyDescent="0.2">
      <c r="A329" s="363">
        <f>COUNTIF(L$1:L329,"!")</f>
        <v>24</v>
      </c>
      <c r="B329" s="364" t="str">
        <f>A329&amp;"."&amp;COUNTIF(A$3:A329,A329)-1</f>
        <v>24.12</v>
      </c>
      <c r="C329" s="100" t="s">
        <v>130</v>
      </c>
      <c r="D329" s="41" t="s">
        <v>2955</v>
      </c>
      <c r="E329" s="101" t="s">
        <v>2956</v>
      </c>
      <c r="F329" s="101" t="s">
        <v>2954</v>
      </c>
      <c r="G329" s="41" t="s">
        <v>23</v>
      </c>
      <c r="H329" s="41">
        <v>1</v>
      </c>
      <c r="I329" s="117">
        <f t="shared" si="144"/>
        <v>8.7499999999999994E-2</v>
      </c>
      <c r="J329" s="117">
        <f t="shared" si="140"/>
        <v>8.7499999999999994E-2</v>
      </c>
      <c r="K329" s="52"/>
      <c r="L329" s="53">
        <f t="shared" si="141"/>
        <v>1</v>
      </c>
      <c r="M329" s="69">
        <f t="shared" si="142"/>
        <v>875</v>
      </c>
      <c r="N329" s="55">
        <v>1</v>
      </c>
      <c r="O329" s="337">
        <v>875</v>
      </c>
      <c r="P329" s="57" t="str">
        <f t="shared" si="143"/>
        <v>值</v>
      </c>
      <c r="Q329" s="23"/>
      <c r="R329" s="23"/>
    </row>
    <row r="330" spans="1:18" ht="16.5" customHeight="1" x14ac:dyDescent="0.2">
      <c r="A330" s="363">
        <f>COUNTIF(L$1:L330,"!")</f>
        <v>24</v>
      </c>
      <c r="B330" s="364" t="str">
        <f>A330&amp;"."&amp;COUNTIF(A$3:A330,A330)-1</f>
        <v>24.13</v>
      </c>
      <c r="C330" s="100" t="s">
        <v>2802</v>
      </c>
      <c r="D330" s="41" t="s">
        <v>2803</v>
      </c>
      <c r="E330" s="101" t="s">
        <v>22</v>
      </c>
      <c r="F330" s="101" t="s">
        <v>2869</v>
      </c>
      <c r="G330" s="41" t="s">
        <v>48</v>
      </c>
      <c r="H330" s="41">
        <v>4</v>
      </c>
      <c r="I330" s="117">
        <f t="shared" si="144"/>
        <v>1.2500000000000001E-2</v>
      </c>
      <c r="J330" s="117">
        <f t="shared" si="140"/>
        <v>0.05</v>
      </c>
      <c r="K330" s="52"/>
      <c r="L330" s="53">
        <f t="shared" si="141"/>
        <v>1</v>
      </c>
      <c r="M330" s="69">
        <f t="shared" si="142"/>
        <v>125</v>
      </c>
      <c r="N330" s="55">
        <v>1</v>
      </c>
      <c r="O330" s="337">
        <v>125</v>
      </c>
      <c r="P330" s="57" t="str">
        <f t="shared" si="143"/>
        <v>值</v>
      </c>
      <c r="Q330" s="23"/>
      <c r="R330" s="23"/>
    </row>
    <row r="331" spans="1:18" ht="16.5" customHeight="1" x14ac:dyDescent="0.2">
      <c r="A331" s="363">
        <f>COUNTIF(L$1:L331,"!")</f>
        <v>24</v>
      </c>
      <c r="B331" s="364" t="str">
        <f>A331&amp;"."&amp;COUNTIF(A$3:A331,A331)-1</f>
        <v>24.14</v>
      </c>
      <c r="C331" s="100" t="s">
        <v>97</v>
      </c>
      <c r="D331" s="41"/>
      <c r="E331" s="101" t="s">
        <v>22</v>
      </c>
      <c r="F331" s="101" t="s">
        <v>2869</v>
      </c>
      <c r="G331" s="41" t="s">
        <v>2806</v>
      </c>
      <c r="H331" s="41">
        <v>1</v>
      </c>
      <c r="I331" s="117">
        <f t="shared" si="144"/>
        <v>6.3E-3</v>
      </c>
      <c r="J331" s="117">
        <f t="shared" si="140"/>
        <v>6.3E-3</v>
      </c>
      <c r="K331" s="52"/>
      <c r="L331" s="53">
        <f t="shared" si="141"/>
        <v>1</v>
      </c>
      <c r="M331" s="69">
        <f t="shared" si="142"/>
        <v>63</v>
      </c>
      <c r="N331" s="55">
        <v>1</v>
      </c>
      <c r="O331" s="337">
        <v>63</v>
      </c>
      <c r="P331" s="57" t="str">
        <f t="shared" si="143"/>
        <v>值</v>
      </c>
      <c r="Q331" s="23"/>
      <c r="R331" s="23"/>
    </row>
    <row r="332" spans="1:18" ht="16.5" customHeight="1" x14ac:dyDescent="0.2">
      <c r="A332" s="363">
        <f>COUNTIF(L$1:L332,"!")</f>
        <v>24</v>
      </c>
      <c r="B332" s="364" t="str">
        <f>A332&amp;"."&amp;COUNTIF(A$3:A332,A332)-1</f>
        <v>24.15</v>
      </c>
      <c r="C332" s="100" t="s">
        <v>2957</v>
      </c>
      <c r="D332" s="102"/>
      <c r="E332" s="101" t="s">
        <v>2785</v>
      </c>
      <c r="F332" s="101" t="s">
        <v>2958</v>
      </c>
      <c r="G332" s="41" t="s">
        <v>48</v>
      </c>
      <c r="H332" s="41">
        <v>1</v>
      </c>
      <c r="I332" s="117">
        <f t="shared" si="144"/>
        <v>2.5068000000000001</v>
      </c>
      <c r="J332" s="117">
        <f t="shared" si="140"/>
        <v>2.5068000000000001</v>
      </c>
      <c r="K332" s="52"/>
      <c r="L332" s="53">
        <f t="shared" si="141"/>
        <v>1</v>
      </c>
      <c r="M332" s="69">
        <f t="shared" si="142"/>
        <v>25068</v>
      </c>
      <c r="N332" s="55">
        <v>1</v>
      </c>
      <c r="O332" s="337">
        <v>25068</v>
      </c>
      <c r="P332" s="57" t="str">
        <f t="shared" si="143"/>
        <v>值</v>
      </c>
      <c r="Q332" s="23"/>
      <c r="R332" s="23"/>
    </row>
    <row r="333" spans="1:18" ht="16.5" customHeight="1" x14ac:dyDescent="0.2">
      <c r="A333" s="363">
        <f>COUNTIF(L$1:L333,"!")</f>
        <v>24</v>
      </c>
      <c r="B333" s="364" t="str">
        <f>A333&amp;"."&amp;COUNTIF(A$3:A333,A333)-1</f>
        <v>24.16</v>
      </c>
      <c r="C333" s="100" t="s">
        <v>2959</v>
      </c>
      <c r="D333" s="41" t="s">
        <v>2960</v>
      </c>
      <c r="E333" s="101" t="s">
        <v>2961</v>
      </c>
      <c r="F333" s="101" t="s">
        <v>2962</v>
      </c>
      <c r="G333" s="41" t="s">
        <v>48</v>
      </c>
      <c r="H333" s="41">
        <v>1</v>
      </c>
      <c r="I333" s="117">
        <f t="shared" si="144"/>
        <v>3.1899999999999998E-2</v>
      </c>
      <c r="J333" s="117">
        <f t="shared" si="140"/>
        <v>3.1899999999999998E-2</v>
      </c>
      <c r="K333" s="52"/>
      <c r="L333" s="53">
        <f t="shared" si="141"/>
        <v>1</v>
      </c>
      <c r="M333" s="69">
        <f t="shared" si="142"/>
        <v>319</v>
      </c>
      <c r="N333" s="55">
        <v>1</v>
      </c>
      <c r="O333" s="337">
        <v>319</v>
      </c>
      <c r="P333" s="57" t="str">
        <f t="shared" si="143"/>
        <v>值</v>
      </c>
      <c r="Q333" s="90"/>
      <c r="R333" s="23"/>
    </row>
    <row r="334" spans="1:18" ht="16.5" customHeight="1" x14ac:dyDescent="0.2">
      <c r="A334" s="363">
        <f>COUNTIF(L$1:L334,"!")</f>
        <v>24</v>
      </c>
      <c r="B334" s="364" t="str">
        <f>A334&amp;"."&amp;COUNTIF(A$3:A334,A334)-1</f>
        <v>24.17</v>
      </c>
      <c r="C334" s="100" t="s">
        <v>2959</v>
      </c>
      <c r="D334" s="41" t="s">
        <v>2963</v>
      </c>
      <c r="E334" s="101" t="s">
        <v>2961</v>
      </c>
      <c r="F334" s="101" t="s">
        <v>2964</v>
      </c>
      <c r="G334" s="41" t="s">
        <v>48</v>
      </c>
      <c r="H334" s="41">
        <v>1</v>
      </c>
      <c r="I334" s="117">
        <f t="shared" si="144"/>
        <v>1.2500000000000001E-2</v>
      </c>
      <c r="J334" s="117">
        <f t="shared" si="140"/>
        <v>1.2500000000000001E-2</v>
      </c>
      <c r="K334" s="52"/>
      <c r="L334" s="53">
        <f t="shared" si="141"/>
        <v>1</v>
      </c>
      <c r="M334" s="69">
        <f t="shared" si="142"/>
        <v>125</v>
      </c>
      <c r="N334" s="55">
        <v>1</v>
      </c>
      <c r="O334" s="337">
        <v>125</v>
      </c>
      <c r="P334" s="57" t="str">
        <f t="shared" si="143"/>
        <v>值</v>
      </c>
      <c r="Q334" s="23"/>
      <c r="R334" s="23"/>
    </row>
    <row r="335" spans="1:18" ht="16.5" customHeight="1" x14ac:dyDescent="0.2">
      <c r="A335" s="363">
        <f>COUNTIF(L$1:L335,"!")</f>
        <v>24</v>
      </c>
      <c r="B335" s="364" t="str">
        <f>A335&amp;"."&amp;COUNTIF(A$3:A335,A335)-1</f>
        <v>24.18</v>
      </c>
      <c r="C335" s="100" t="s">
        <v>51</v>
      </c>
      <c r="D335" s="41"/>
      <c r="E335" s="101"/>
      <c r="F335" s="101"/>
      <c r="G335" s="41" t="s">
        <v>2887</v>
      </c>
      <c r="H335" s="41">
        <v>1</v>
      </c>
      <c r="I335" s="117">
        <f t="shared" si="144"/>
        <v>0.3</v>
      </c>
      <c r="J335" s="117">
        <f t="shared" si="140"/>
        <v>0.3</v>
      </c>
      <c r="K335" s="52"/>
      <c r="L335" s="53">
        <f t="shared" si="141"/>
        <v>1</v>
      </c>
      <c r="M335" s="69">
        <f t="shared" si="142"/>
        <v>3000</v>
      </c>
      <c r="N335" s="55">
        <v>1</v>
      </c>
      <c r="O335" s="337">
        <v>3000</v>
      </c>
      <c r="P335" s="57" t="str">
        <f t="shared" si="143"/>
        <v>值</v>
      </c>
      <c r="Q335" s="23"/>
      <c r="R335" s="23"/>
    </row>
    <row r="336" spans="1:18" ht="27" customHeight="1" x14ac:dyDescent="0.2">
      <c r="A336" s="363">
        <f>COUNTIF(L$1:L336,"!")</f>
        <v>24</v>
      </c>
      <c r="B336" s="364" t="str">
        <f>A336&amp;"."&amp;COUNTIF(A$3:A336,A336)-1</f>
        <v>24.19</v>
      </c>
      <c r="C336" s="103" t="s">
        <v>53</v>
      </c>
      <c r="D336" s="104"/>
      <c r="E336" s="365"/>
      <c r="F336" s="101"/>
      <c r="G336" s="104"/>
      <c r="H336" s="104" t="s">
        <v>1</v>
      </c>
      <c r="I336" s="118" t="s">
        <v>52</v>
      </c>
      <c r="J336" s="366"/>
      <c r="K336" s="104"/>
      <c r="L336" s="53"/>
      <c r="M336" s="119"/>
      <c r="N336" s="70"/>
      <c r="O336" s="337"/>
      <c r="P336" s="23"/>
      <c r="Q336" s="23"/>
      <c r="R336" s="23"/>
    </row>
    <row r="337" spans="1:18" ht="27" customHeight="1" x14ac:dyDescent="0.2">
      <c r="A337" s="363">
        <f>COUNTIF(L$1:L337,"!")</f>
        <v>24</v>
      </c>
      <c r="B337" s="364" t="str">
        <f>A337&amp;"."&amp;COUNTIF(A$3:A337,A337)-1</f>
        <v>24.20</v>
      </c>
      <c r="C337" s="103" t="s">
        <v>54</v>
      </c>
      <c r="D337" s="104"/>
      <c r="E337" s="365"/>
      <c r="F337" s="101"/>
      <c r="G337" s="104"/>
      <c r="H337" s="104"/>
      <c r="I337" s="118" t="s">
        <v>1</v>
      </c>
      <c r="J337" s="120">
        <f>SUM(J318:J336)</f>
        <v>11.120000000000001</v>
      </c>
      <c r="K337" s="104"/>
      <c r="L337" s="53"/>
      <c r="M337" s="119"/>
      <c r="N337" s="70"/>
      <c r="O337" s="337"/>
      <c r="P337" s="30"/>
      <c r="Q337" s="90"/>
      <c r="R337" s="30"/>
    </row>
    <row r="338" spans="1:18" ht="16.5" customHeight="1" x14ac:dyDescent="0.15">
      <c r="A338" s="97">
        <f>COUNTIF(L$1:L338,"!")</f>
        <v>25</v>
      </c>
      <c r="B338" s="32" t="str">
        <f>COUNTIF(L$2:L339,"!")&amp;"."</f>
        <v>25.</v>
      </c>
      <c r="C338" s="47" t="str">
        <f>C339</f>
        <v>变压器</v>
      </c>
      <c r="D338" s="35" t="str">
        <f>D339</f>
        <v>S13-M-400KVA 全铜</v>
      </c>
      <c r="E338" s="99" t="str">
        <f>E339</f>
        <v>浙江</v>
      </c>
      <c r="F338" s="99" t="str">
        <f>F339</f>
        <v>弘乐电气有限公司</v>
      </c>
      <c r="G338" s="34" t="s">
        <v>23</v>
      </c>
      <c r="H338" s="98">
        <v>1</v>
      </c>
      <c r="I338" s="115">
        <f>LOOKUP(0,0/((A338:A417=A338)*(C338:C417="合计金额（单位完整货物单价）")),J338:J417)</f>
        <v>3.8850000000000002</v>
      </c>
      <c r="J338" s="116">
        <f>IFERROR(I338*H338,"")</f>
        <v>3.8850000000000002</v>
      </c>
      <c r="K338" s="34"/>
      <c r="L338" s="48" t="s">
        <v>24</v>
      </c>
      <c r="M338" s="49"/>
      <c r="N338" s="50"/>
      <c r="O338" s="362"/>
      <c r="P338" s="23"/>
      <c r="Q338" s="360">
        <f>COUNTIF(L$3:L338,"#")</f>
        <v>4</v>
      </c>
      <c r="R338" s="23"/>
    </row>
    <row r="339" spans="1:18" ht="16.5" customHeight="1" x14ac:dyDescent="0.2">
      <c r="A339" s="363">
        <f>COUNTIF(L$1:L339,"!")</f>
        <v>25</v>
      </c>
      <c r="B339" s="364" t="str">
        <f>A339&amp;"."&amp;COUNTIF(A$3:A339,A339)-1</f>
        <v>25.1</v>
      </c>
      <c r="C339" s="100" t="str">
        <f>IFERROR(VLOOKUP(D339,元件库!$B:$O,3,FALSE),"")</f>
        <v>变压器</v>
      </c>
      <c r="D339" s="41" t="s">
        <v>2965</v>
      </c>
      <c r="E339" s="101" t="s">
        <v>22</v>
      </c>
      <c r="F339" s="101" t="s">
        <v>2814</v>
      </c>
      <c r="G339" s="41" t="s">
        <v>23</v>
      </c>
      <c r="H339" s="41">
        <v>1</v>
      </c>
      <c r="I339" s="117">
        <f>IFERROR(ROUND(L339*M339/10000,4),"")</f>
        <v>3.81</v>
      </c>
      <c r="J339" s="117">
        <f t="shared" ref="J339:J340" si="145">IFERROR(I339*H339,"")</f>
        <v>3.81</v>
      </c>
      <c r="K339" s="52"/>
      <c r="L339" s="53">
        <f t="shared" ref="L339:L340" si="146">L$2</f>
        <v>1</v>
      </c>
      <c r="M339" s="69">
        <f t="shared" ref="M339:M340" si="147">IFERROR(O339*N339,"")</f>
        <v>38100</v>
      </c>
      <c r="N339" s="55">
        <f>IFERROR(VLOOKUP(D339,元件库!$B:$O,10,FALSE),"1.00")</f>
        <v>1</v>
      </c>
      <c r="O339" s="337">
        <f>IFERROR(VLOOKUP(D339,元件库!$B:$O,11,FALSE),"")</f>
        <v>38100</v>
      </c>
      <c r="P339" s="57" t="str">
        <f t="shared" ref="P339:P340" si="148">IF(_xlfn.ISFORMULA(O339),"","值")</f>
        <v/>
      </c>
      <c r="Q339" s="90"/>
      <c r="R339" s="23"/>
    </row>
    <row r="340" spans="1:18" ht="16.5" customHeight="1" x14ac:dyDescent="0.2">
      <c r="A340" s="363">
        <f>COUNTIF(L$1:L340,"!")</f>
        <v>25</v>
      </c>
      <c r="B340" s="364" t="str">
        <f>A340&amp;"."&amp;COUNTIF(A$3:A340,A340)-1</f>
        <v>25.2</v>
      </c>
      <c r="C340" s="100" t="s">
        <v>51</v>
      </c>
      <c r="D340" s="41"/>
      <c r="E340" s="101"/>
      <c r="F340" s="101"/>
      <c r="G340" s="41" t="s">
        <v>2887</v>
      </c>
      <c r="H340" s="41">
        <v>1</v>
      </c>
      <c r="I340" s="117">
        <f t="shared" ref="I340" si="149">IFERROR(ROUND(L340*M340/10000,4),"")</f>
        <v>7.4999999999999997E-2</v>
      </c>
      <c r="J340" s="117">
        <f t="shared" si="145"/>
        <v>7.4999999999999997E-2</v>
      </c>
      <c r="K340" s="52"/>
      <c r="L340" s="53">
        <f t="shared" si="146"/>
        <v>1</v>
      </c>
      <c r="M340" s="69">
        <f t="shared" si="147"/>
        <v>750</v>
      </c>
      <c r="N340" s="55">
        <v>1</v>
      </c>
      <c r="O340" s="337">
        <v>750</v>
      </c>
      <c r="P340" s="57" t="str">
        <f t="shared" si="148"/>
        <v>值</v>
      </c>
      <c r="Q340" s="23"/>
      <c r="R340" s="23"/>
    </row>
    <row r="341" spans="1:18" ht="27" customHeight="1" x14ac:dyDescent="0.2">
      <c r="A341" s="363">
        <f>COUNTIF(L$1:L341,"!")</f>
        <v>25</v>
      </c>
      <c r="B341" s="364" t="str">
        <f>A341&amp;"."&amp;COUNTIF(A$3:A341,A341)-1</f>
        <v>25.3</v>
      </c>
      <c r="C341" s="103" t="s">
        <v>53</v>
      </c>
      <c r="D341" s="104"/>
      <c r="E341" s="365"/>
      <c r="F341" s="101"/>
      <c r="G341" s="104"/>
      <c r="H341" s="104" t="s">
        <v>1</v>
      </c>
      <c r="I341" s="118" t="s">
        <v>52</v>
      </c>
      <c r="J341" s="366"/>
      <c r="K341" s="104"/>
      <c r="L341" s="53"/>
      <c r="M341" s="119"/>
      <c r="N341" s="70"/>
      <c r="O341" s="337"/>
      <c r="P341" s="23"/>
      <c r="Q341" s="23"/>
      <c r="R341" s="23"/>
    </row>
    <row r="342" spans="1:18" ht="27" customHeight="1" x14ac:dyDescent="0.2">
      <c r="A342" s="363">
        <f>COUNTIF(L$1:L342,"!")</f>
        <v>25</v>
      </c>
      <c r="B342" s="364" t="str">
        <f>A342&amp;"."&amp;COUNTIF(A$3:A342,A342)-1</f>
        <v>25.4</v>
      </c>
      <c r="C342" s="103" t="s">
        <v>54</v>
      </c>
      <c r="D342" s="104"/>
      <c r="E342" s="365"/>
      <c r="F342" s="101"/>
      <c r="G342" s="104"/>
      <c r="H342" s="104"/>
      <c r="I342" s="118" t="s">
        <v>1</v>
      </c>
      <c r="J342" s="120">
        <f>SUM(J339:J341)</f>
        <v>3.8850000000000002</v>
      </c>
      <c r="K342" s="104"/>
      <c r="L342" s="53"/>
      <c r="M342" s="119"/>
      <c r="N342" s="70"/>
      <c r="O342" s="337"/>
      <c r="P342" s="30"/>
      <c r="Q342" s="90"/>
      <c r="R342" s="30"/>
    </row>
    <row r="343" spans="1:18" ht="16.5" customHeight="1" x14ac:dyDescent="0.15">
      <c r="A343" s="97">
        <f>COUNTIF(L$1:L343,"!")</f>
        <v>26</v>
      </c>
      <c r="B343" s="32" t="str">
        <f>COUNTIF(L$2:L344,"!")&amp;"."</f>
        <v>26.</v>
      </c>
      <c r="C343" s="47" t="s">
        <v>2966</v>
      </c>
      <c r="D343" s="35"/>
      <c r="E343" s="367" t="s">
        <v>37</v>
      </c>
      <c r="F343" s="367" t="s">
        <v>38</v>
      </c>
      <c r="G343" s="34" t="s">
        <v>23</v>
      </c>
      <c r="H343" s="98">
        <v>1</v>
      </c>
      <c r="I343" s="115">
        <f>LOOKUP(0,0/((A343:A422=A343)*(C343:C422="合计金额（单位完整货物单价）")),J343:J422)</f>
        <v>0.33299999999999996</v>
      </c>
      <c r="J343" s="116">
        <f>IFERROR(I343*H343,"")</f>
        <v>0.33299999999999996</v>
      </c>
      <c r="K343" s="34"/>
      <c r="L343" s="48" t="s">
        <v>24</v>
      </c>
      <c r="M343" s="49"/>
      <c r="N343" s="50"/>
      <c r="O343" s="362"/>
      <c r="P343" s="23"/>
      <c r="Q343" s="360">
        <f>COUNTIF(L$3:L343,"#")</f>
        <v>4</v>
      </c>
      <c r="R343" s="23"/>
    </row>
    <row r="344" spans="1:18" s="23" customFormat="1" ht="16.5" customHeight="1" x14ac:dyDescent="0.2">
      <c r="A344" s="363">
        <f>COUNTIF(L$1:L344,"!")</f>
        <v>26</v>
      </c>
      <c r="B344" s="364" t="str">
        <f>A344&amp;"."&amp;COUNTIF(A$3:A344,A344)-1</f>
        <v>26.1</v>
      </c>
      <c r="C344" s="100" t="str">
        <f>IFERROR(VLOOKUP(D344,元件库!$B:$O,3,FALSE),"")</f>
        <v>铜排</v>
      </c>
      <c r="D344" s="41" t="s">
        <v>2886</v>
      </c>
      <c r="E344" s="101" t="s">
        <v>2885</v>
      </c>
      <c r="F344" s="101" t="s">
        <v>2967</v>
      </c>
      <c r="G344" s="41" t="s">
        <v>39</v>
      </c>
      <c r="H344" s="41">
        <v>10</v>
      </c>
      <c r="I344" s="117">
        <f>IFERROR(ROUND(L344*M344/10000,4),"")</f>
        <v>1.83E-2</v>
      </c>
      <c r="J344" s="117">
        <f>IFERROR(I344*H344,"")</f>
        <v>0.183</v>
      </c>
      <c r="K344" s="52"/>
      <c r="L344" s="53">
        <f t="shared" ref="L344:L346" si="150">L$2</f>
        <v>1</v>
      </c>
      <c r="M344" s="69">
        <f>IFERROR(O344*N344,"")</f>
        <v>182.62799999999999</v>
      </c>
      <c r="N344" s="55">
        <f>IFERROR(VLOOKUP(D344,元件库!$B:$O,10,FALSE),"1.00")</f>
        <v>1</v>
      </c>
      <c r="O344" s="337">
        <f>IFERROR(VLOOKUP(D344,元件库!$B:$O,11,FALSE),"")</f>
        <v>182.62799999999999</v>
      </c>
      <c r="P344" s="57" t="str">
        <f>IF(_xlfn.ISFORMULA(O344),"","值")</f>
        <v/>
      </c>
    </row>
    <row r="345" spans="1:18" s="23" customFormat="1" ht="16.5" customHeight="1" x14ac:dyDescent="0.2">
      <c r="A345" s="363">
        <f>COUNTIF(L$1:L345,"!")</f>
        <v>26</v>
      </c>
      <c r="B345" s="364" t="str">
        <f>A345&amp;"."&amp;COUNTIF(A$3:A345,A345)-1</f>
        <v>26.2</v>
      </c>
      <c r="C345" s="100" t="s">
        <v>2819</v>
      </c>
      <c r="D345" s="41" t="s">
        <v>2968</v>
      </c>
      <c r="E345" s="101" t="s">
        <v>2883</v>
      </c>
      <c r="F345" s="101" t="s">
        <v>2969</v>
      </c>
      <c r="G345" s="41" t="s">
        <v>2970</v>
      </c>
      <c r="H345" s="41">
        <v>1</v>
      </c>
      <c r="I345" s="117">
        <f>IFERROR(ROUND(L345*M345/10000,4),"")</f>
        <v>0.15</v>
      </c>
      <c r="J345" s="117">
        <f>IFERROR(I345*H345,"")</f>
        <v>0.15</v>
      </c>
      <c r="K345" s="52"/>
      <c r="L345" s="53">
        <f t="shared" si="150"/>
        <v>1</v>
      </c>
      <c r="M345" s="69">
        <f>IFERROR(O345*N345,"")</f>
        <v>1500</v>
      </c>
      <c r="N345" s="55" t="str">
        <f>IFERROR(VLOOKUP(D345,元件库!$B:$O,10,FALSE),"1.00")</f>
        <v>1.00</v>
      </c>
      <c r="O345" s="337">
        <v>1500</v>
      </c>
      <c r="P345" s="57" t="str">
        <f>IF(_xlfn.ISFORMULA(O345),"","值")</f>
        <v>值</v>
      </c>
    </row>
    <row r="346" spans="1:18" ht="16.5" customHeight="1" x14ac:dyDescent="0.2">
      <c r="A346" s="363">
        <f>COUNTIF(L$1:L346,"!")</f>
        <v>26</v>
      </c>
      <c r="B346" s="364" t="str">
        <f>A346&amp;"."&amp;COUNTIF(A$3:A346,A346)-1</f>
        <v>26.3</v>
      </c>
      <c r="C346" s="100" t="s">
        <v>51</v>
      </c>
      <c r="D346" s="41"/>
      <c r="E346" s="101"/>
      <c r="F346" s="101"/>
      <c r="G346" s="41"/>
      <c r="H346" s="41"/>
      <c r="I346" s="118" t="s">
        <v>52</v>
      </c>
      <c r="J346" s="117" t="str">
        <f t="shared" ref="J346" si="151">IFERROR(I346*H346,"")</f>
        <v/>
      </c>
      <c r="K346" s="52"/>
      <c r="L346" s="53">
        <f t="shared" si="150"/>
        <v>1</v>
      </c>
      <c r="M346" s="69">
        <f t="shared" ref="M346" si="152">IFERROR(O346*N346,"")</f>
        <v>750</v>
      </c>
      <c r="N346" s="55">
        <v>1</v>
      </c>
      <c r="O346" s="337">
        <v>750</v>
      </c>
      <c r="P346" s="57" t="str">
        <f t="shared" ref="P346" si="153">IF(_xlfn.ISFORMULA(O346),"","值")</f>
        <v>值</v>
      </c>
      <c r="Q346" s="23"/>
      <c r="R346" s="23"/>
    </row>
    <row r="347" spans="1:18" ht="27" customHeight="1" x14ac:dyDescent="0.2">
      <c r="A347" s="363">
        <f>COUNTIF(L$1:L347,"!")</f>
        <v>26</v>
      </c>
      <c r="B347" s="364" t="str">
        <f>A347&amp;"."&amp;COUNTIF(A$3:A347,A347)-1</f>
        <v>26.4</v>
      </c>
      <c r="C347" s="103" t="s">
        <v>53</v>
      </c>
      <c r="D347" s="104"/>
      <c r="E347" s="365"/>
      <c r="F347" s="101"/>
      <c r="G347" s="104"/>
      <c r="H347" s="104" t="s">
        <v>1</v>
      </c>
      <c r="I347" s="118" t="s">
        <v>52</v>
      </c>
      <c r="J347" s="366"/>
      <c r="K347" s="104"/>
      <c r="L347" s="53"/>
      <c r="M347" s="119"/>
      <c r="N347" s="70"/>
      <c r="O347" s="337"/>
      <c r="P347" s="23"/>
      <c r="Q347" s="23"/>
      <c r="R347" s="23"/>
    </row>
    <row r="348" spans="1:18" ht="27" customHeight="1" x14ac:dyDescent="0.2">
      <c r="A348" s="363">
        <f>COUNTIF(L$1:L348,"!")</f>
        <v>26</v>
      </c>
      <c r="B348" s="364" t="str">
        <f>A348&amp;"."&amp;COUNTIF(A$3:A348,A348)-1</f>
        <v>26.5</v>
      </c>
      <c r="C348" s="103" t="s">
        <v>54</v>
      </c>
      <c r="D348" s="104"/>
      <c r="E348" s="365"/>
      <c r="F348" s="101"/>
      <c r="G348" s="104"/>
      <c r="H348" s="104"/>
      <c r="I348" s="118" t="s">
        <v>1</v>
      </c>
      <c r="J348" s="120">
        <f>SUM(J344:J347)</f>
        <v>0.33299999999999996</v>
      </c>
      <c r="K348" s="104"/>
      <c r="L348" s="53"/>
      <c r="M348" s="119"/>
      <c r="N348" s="70"/>
      <c r="O348" s="337"/>
      <c r="P348" s="30"/>
      <c r="Q348" s="90"/>
      <c r="R348" s="30"/>
    </row>
    <row r="349" spans="1:18" s="23" customFormat="1" ht="16.5" customHeight="1" x14ac:dyDescent="0.15">
      <c r="A349" s="97">
        <f>COUNTIF(L$1:L349,"!")</f>
        <v>27</v>
      </c>
      <c r="B349" s="32" t="str">
        <f>COUNTIF(L$2:L350,"!")&amp;"."</f>
        <v>27.</v>
      </c>
      <c r="C349" s="47" t="s">
        <v>2824</v>
      </c>
      <c r="D349" s="35" t="str">
        <f>D350</f>
        <v>GGD-800*600*2000</v>
      </c>
      <c r="E349" s="367" t="s">
        <v>22</v>
      </c>
      <c r="F349" s="367" t="s">
        <v>3261</v>
      </c>
      <c r="G349" s="34" t="s">
        <v>23</v>
      </c>
      <c r="H349" s="98">
        <v>1</v>
      </c>
      <c r="I349" s="115">
        <f>LOOKUP(0,0/((A349:A403=A349)*(C349:C403="合计金额（单位完整货物单价）")),J349:J403)</f>
        <v>1.07629</v>
      </c>
      <c r="J349" s="116">
        <f>IFERROR(I349*H349,"")</f>
        <v>1.07629</v>
      </c>
      <c r="K349" s="34"/>
      <c r="L349" s="48" t="s">
        <v>24</v>
      </c>
      <c r="M349" s="49"/>
      <c r="N349" s="50"/>
      <c r="O349" s="51"/>
      <c r="Q349" s="360">
        <f>COUNTIF(L$3:L349,"#")</f>
        <v>4</v>
      </c>
    </row>
    <row r="350" spans="1:18" s="23" customFormat="1" ht="16.5" customHeight="1" x14ac:dyDescent="0.2">
      <c r="A350" s="363">
        <f>COUNTIF(L$1:L350,"!")</f>
        <v>27</v>
      </c>
      <c r="B350" s="364" t="str">
        <f>A350&amp;"."&amp;COUNTIF(A$3:A350,A350)-1</f>
        <v>27.1</v>
      </c>
      <c r="C350" s="100" t="str">
        <f>IFERROR(VLOOKUP(D350,元件库!$B:$O,3,FALSE),"")</f>
        <v>壳体W*D*H</v>
      </c>
      <c r="D350" s="41" t="s">
        <v>181</v>
      </c>
      <c r="E350" s="101" t="s">
        <v>2916</v>
      </c>
      <c r="F350" s="101" t="s">
        <v>3261</v>
      </c>
      <c r="G350" s="41" t="s">
        <v>23</v>
      </c>
      <c r="H350" s="41">
        <v>1</v>
      </c>
      <c r="I350" s="117">
        <f>IFERROR(ROUND(L350*M350/10000,4),"")</f>
        <v>0.155</v>
      </c>
      <c r="J350" s="117">
        <f t="shared" ref="J350:J359" si="154">IFERROR(I350*H350,"")</f>
        <v>0.155</v>
      </c>
      <c r="K350" s="52"/>
      <c r="L350" s="53">
        <f t="shared" ref="L350:L367" si="155">L$2</f>
        <v>1</v>
      </c>
      <c r="M350" s="69">
        <f t="shared" ref="M350:M359" si="156">IFERROR(O350*N350,"")</f>
        <v>1550</v>
      </c>
      <c r="N350" s="55">
        <f>IFERROR(VLOOKUP(D350,元件库!$B:$O,10,FALSE),"1.00")</f>
        <v>1</v>
      </c>
      <c r="O350" s="337">
        <f>IFERROR(VLOOKUP(D350,元件库!$B:$O,11,FALSE),"")</f>
        <v>1550</v>
      </c>
      <c r="P350" s="57" t="str">
        <f t="shared" ref="P350:P359" si="157">IF(_xlfn.ISFORMULA(O350),"","值")</f>
        <v/>
      </c>
      <c r="Q350" s="90"/>
    </row>
    <row r="351" spans="1:18" s="23" customFormat="1" ht="16.5" customHeight="1" x14ac:dyDescent="0.2">
      <c r="A351" s="363">
        <f>COUNTIF(L$1:L351,"!")</f>
        <v>27</v>
      </c>
      <c r="B351" s="364" t="str">
        <f>A351&amp;"."&amp;COUNTIF(A$3:A351,A351)-1</f>
        <v>27.2</v>
      </c>
      <c r="C351" s="100" t="str">
        <f>IFERROR(VLOOKUP(D351,元件库!$B:$O,3,FALSE),"")</f>
        <v>封板</v>
      </c>
      <c r="D351" s="41" t="s">
        <v>2971</v>
      </c>
      <c r="E351" s="101" t="s">
        <v>2883</v>
      </c>
      <c r="F351" s="101" t="s">
        <v>3261</v>
      </c>
      <c r="G351" s="41" t="s">
        <v>23</v>
      </c>
      <c r="H351" s="41">
        <v>2</v>
      </c>
      <c r="I351" s="117">
        <f>IFERROR(ROUND(L351*M351/10000,4),"")</f>
        <v>1.7999999999999999E-2</v>
      </c>
      <c r="J351" s="117">
        <f t="shared" si="154"/>
        <v>3.5999999999999997E-2</v>
      </c>
      <c r="K351" s="52"/>
      <c r="L351" s="53">
        <f t="shared" si="155"/>
        <v>1</v>
      </c>
      <c r="M351" s="69">
        <f t="shared" si="156"/>
        <v>180</v>
      </c>
      <c r="N351" s="55">
        <f>IFERROR(VLOOKUP(D351,元件库!$B:$O,10,FALSE),"1.00")</f>
        <v>1</v>
      </c>
      <c r="O351" s="337">
        <f>IFERROR(VLOOKUP(D351,元件库!$B:$O,11,FALSE),"")</f>
        <v>180</v>
      </c>
      <c r="P351" s="57" t="str">
        <f t="shared" si="157"/>
        <v/>
      </c>
      <c r="Q351" s="90"/>
    </row>
    <row r="352" spans="1:18" s="23" customFormat="1" ht="16.5" customHeight="1" x14ac:dyDescent="0.2">
      <c r="A352" s="363">
        <f>COUNTIF(L$1:L352,"!")</f>
        <v>27</v>
      </c>
      <c r="B352" s="364" t="str">
        <f>A352&amp;"."&amp;COUNTIF(A$3:A352,A352)-1</f>
        <v>27.3</v>
      </c>
      <c r="C352" s="100" t="str">
        <f>IFERROR(VLOOKUP(D352,元件库!$B:$O,3,FALSE),"")</f>
        <v>刀开关</v>
      </c>
      <c r="D352" s="41" t="s">
        <v>2972</v>
      </c>
      <c r="E352" s="101" t="s">
        <v>2883</v>
      </c>
      <c r="F352" s="101" t="s">
        <v>32</v>
      </c>
      <c r="G352" s="41" t="s">
        <v>29</v>
      </c>
      <c r="H352" s="41">
        <v>1</v>
      </c>
      <c r="I352" s="117">
        <f t="shared" ref="I352:I359" si="158">IFERROR(ROUND(L352*M352/10000,4),"")</f>
        <v>5.7299999999999997E-2</v>
      </c>
      <c r="J352" s="117">
        <f t="shared" si="154"/>
        <v>5.7299999999999997E-2</v>
      </c>
      <c r="K352" s="52"/>
      <c r="L352" s="53">
        <f t="shared" si="155"/>
        <v>1</v>
      </c>
      <c r="M352" s="69">
        <f t="shared" si="156"/>
        <v>573.1</v>
      </c>
      <c r="N352" s="55">
        <f>IFERROR(VLOOKUP(D352,元件库!$B:$O,10,FALSE),"1.00")</f>
        <v>0.55000000000000004</v>
      </c>
      <c r="O352" s="337">
        <f>IFERROR(VLOOKUP(D352,元件库!$B:$O,11,FALSE),"")</f>
        <v>1042</v>
      </c>
      <c r="P352" s="57" t="str">
        <f t="shared" si="157"/>
        <v/>
      </c>
      <c r="Q352" s="90"/>
    </row>
    <row r="353" spans="1:17" s="23" customFormat="1" ht="16.5" customHeight="1" x14ac:dyDescent="0.2">
      <c r="A353" s="363">
        <f>COUNTIF(L$1:L353,"!")</f>
        <v>27</v>
      </c>
      <c r="B353" s="364" t="str">
        <f>A353&amp;"."&amp;COUNTIF(A$3:A353,A353)-1</f>
        <v>27.4</v>
      </c>
      <c r="C353" s="100" t="str">
        <f>IFERROR(VLOOKUP(D353,元件库!$B:$O,3,FALSE),"")</f>
        <v>框架断路器</v>
      </c>
      <c r="D353" s="41" t="s">
        <v>2973</v>
      </c>
      <c r="E353" s="101" t="s">
        <v>2883</v>
      </c>
      <c r="F353" s="101" t="s">
        <v>28</v>
      </c>
      <c r="G353" s="41" t="s">
        <v>29</v>
      </c>
      <c r="H353" s="41">
        <v>1</v>
      </c>
      <c r="I353" s="117">
        <f t="shared" si="158"/>
        <v>0.39900000000000002</v>
      </c>
      <c r="J353" s="117">
        <f t="shared" si="154"/>
        <v>0.39900000000000002</v>
      </c>
      <c r="K353" s="52"/>
      <c r="L353" s="53">
        <f t="shared" si="155"/>
        <v>1</v>
      </c>
      <c r="M353" s="69">
        <f t="shared" si="156"/>
        <v>3990</v>
      </c>
      <c r="N353" s="55">
        <f>IFERROR(VLOOKUP(D353,元件库!$B:$O,10,FALSE),"1.00")</f>
        <v>1</v>
      </c>
      <c r="O353" s="337">
        <f>IFERROR(VLOOKUP(D353,元件库!$B:$O,11,FALSE),"")</f>
        <v>3990</v>
      </c>
      <c r="P353" s="57" t="str">
        <f t="shared" si="157"/>
        <v/>
      </c>
      <c r="Q353" s="90"/>
    </row>
    <row r="354" spans="1:17" s="23" customFormat="1" ht="16.5" customHeight="1" x14ac:dyDescent="0.2">
      <c r="A354" s="363">
        <f>COUNTIF(L$1:L354,"!")</f>
        <v>27</v>
      </c>
      <c r="B354" s="364" t="str">
        <f>A354&amp;"."&amp;COUNTIF(A$3:A354,A354)-1</f>
        <v>27.5</v>
      </c>
      <c r="C354" s="100" t="str">
        <f>IFERROR(VLOOKUP(D354,元件库!$B:$O,3,FALSE),"")</f>
        <v/>
      </c>
      <c r="D354" s="41" t="s">
        <v>2974</v>
      </c>
      <c r="E354" s="101" t="s">
        <v>2883</v>
      </c>
      <c r="F354" s="101" t="s">
        <v>32</v>
      </c>
      <c r="G354" s="41" t="s">
        <v>29</v>
      </c>
      <c r="H354" s="41">
        <v>6</v>
      </c>
      <c r="I354" s="117" t="str">
        <f t="shared" si="158"/>
        <v/>
      </c>
      <c r="J354" s="117" t="str">
        <f t="shared" si="154"/>
        <v/>
      </c>
      <c r="K354" s="52"/>
      <c r="L354" s="53">
        <f t="shared" si="155"/>
        <v>1</v>
      </c>
      <c r="M354" s="69" t="str">
        <f t="shared" si="156"/>
        <v/>
      </c>
      <c r="N354" s="55" t="str">
        <f>IFERROR(VLOOKUP(D354,元件库!$B:$O,10,FALSE),"1.00")</f>
        <v>1.00</v>
      </c>
      <c r="O354" s="337" t="str">
        <f>IFERROR(VLOOKUP(D354,元件库!$B:$O,11,FALSE),"")</f>
        <v/>
      </c>
      <c r="P354" s="57" t="str">
        <f t="shared" si="157"/>
        <v/>
      </c>
    </row>
    <row r="355" spans="1:17" s="23" customFormat="1" ht="16.5" customHeight="1" x14ac:dyDescent="0.2">
      <c r="A355" s="363">
        <f>COUNTIF(L$1:L355,"!")</f>
        <v>27</v>
      </c>
      <c r="B355" s="364" t="str">
        <f>A355&amp;"."&amp;COUNTIF(A$3:A355,A355)-1</f>
        <v>27.6</v>
      </c>
      <c r="C355" s="100" t="str">
        <f>IFERROR(VLOOKUP(D355,元件库!$B:$O,3,FALSE),"")</f>
        <v>电流.电压表</v>
      </c>
      <c r="D355" s="41" t="s">
        <v>145</v>
      </c>
      <c r="E355" s="101" t="s">
        <v>2883</v>
      </c>
      <c r="F355" s="101" t="s">
        <v>32</v>
      </c>
      <c r="G355" s="41" t="s">
        <v>29</v>
      </c>
      <c r="H355" s="41">
        <v>3</v>
      </c>
      <c r="I355" s="117">
        <f t="shared" si="158"/>
        <v>1.4E-3</v>
      </c>
      <c r="J355" s="117">
        <f t="shared" si="154"/>
        <v>4.1999999999999997E-3</v>
      </c>
      <c r="K355" s="52"/>
      <c r="L355" s="53">
        <f t="shared" si="155"/>
        <v>1</v>
      </c>
      <c r="M355" s="69">
        <f t="shared" si="156"/>
        <v>13.750000000000002</v>
      </c>
      <c r="N355" s="55">
        <f>IFERROR(VLOOKUP(D355,元件库!$B:$O,10,FALSE),"1.00")</f>
        <v>0.55000000000000004</v>
      </c>
      <c r="O355" s="337">
        <f>IFERROR(VLOOKUP(D355,元件库!$B:$O,11,FALSE),"")</f>
        <v>25</v>
      </c>
      <c r="P355" s="57" t="str">
        <f t="shared" si="157"/>
        <v/>
      </c>
    </row>
    <row r="356" spans="1:17" s="23" customFormat="1" ht="16.5" customHeight="1" x14ac:dyDescent="0.2">
      <c r="A356" s="363">
        <f>COUNTIF(L$1:L356,"!")</f>
        <v>27</v>
      </c>
      <c r="B356" s="364" t="str">
        <f>A356&amp;"."&amp;COUNTIF(A$3:A356,A356)-1</f>
        <v>27.7</v>
      </c>
      <c r="C356" s="100" t="str">
        <f>IFERROR(VLOOKUP(D356,元件库!$B:$O,3,FALSE),"")</f>
        <v>电流.电压表</v>
      </c>
      <c r="D356" s="41" t="s">
        <v>150</v>
      </c>
      <c r="E356" s="101" t="s">
        <v>2883</v>
      </c>
      <c r="F356" s="101" t="s">
        <v>32</v>
      </c>
      <c r="G356" s="41" t="s">
        <v>29</v>
      </c>
      <c r="H356" s="41">
        <v>1</v>
      </c>
      <c r="I356" s="117">
        <f t="shared" si="158"/>
        <v>1.4E-3</v>
      </c>
      <c r="J356" s="117">
        <f t="shared" si="154"/>
        <v>1.4E-3</v>
      </c>
      <c r="K356" s="52"/>
      <c r="L356" s="53">
        <f t="shared" si="155"/>
        <v>1</v>
      </c>
      <c r="M356" s="69">
        <f t="shared" si="156"/>
        <v>13.750000000000002</v>
      </c>
      <c r="N356" s="55">
        <f>IFERROR(VLOOKUP(D356,元件库!$B:$O,10,FALSE),"1.00")</f>
        <v>0.55000000000000004</v>
      </c>
      <c r="O356" s="337">
        <f>IFERROR(VLOOKUP(D356,元件库!$B:$O,11,FALSE),"")</f>
        <v>25</v>
      </c>
      <c r="P356" s="57" t="str">
        <f t="shared" si="157"/>
        <v/>
      </c>
    </row>
    <row r="357" spans="1:17" s="23" customFormat="1" ht="16.5" customHeight="1" x14ac:dyDescent="0.2">
      <c r="A357" s="363">
        <f>COUNTIF(L$1:L357,"!")</f>
        <v>27</v>
      </c>
      <c r="B357" s="364" t="str">
        <f>A357&amp;"."&amp;COUNTIF(A$3:A357,A357)-1</f>
        <v>27.8</v>
      </c>
      <c r="C357" s="100" t="str">
        <f>IFERROR(VLOOKUP(D357,元件库!$B:$O,3,FALSE),"")</f>
        <v/>
      </c>
      <c r="D357" s="41" t="s">
        <v>2920</v>
      </c>
      <c r="E357" s="101" t="s">
        <v>2883</v>
      </c>
      <c r="F357" s="101" t="s">
        <v>32</v>
      </c>
      <c r="G357" s="41" t="s">
        <v>29</v>
      </c>
      <c r="H357" s="41">
        <v>1</v>
      </c>
      <c r="I357" s="117" t="str">
        <f t="shared" si="158"/>
        <v/>
      </c>
      <c r="J357" s="117" t="str">
        <f t="shared" si="154"/>
        <v/>
      </c>
      <c r="K357" s="52"/>
      <c r="L357" s="53">
        <f t="shared" si="155"/>
        <v>1</v>
      </c>
      <c r="M357" s="69" t="str">
        <f t="shared" si="156"/>
        <v/>
      </c>
      <c r="N357" s="55" t="str">
        <f>IFERROR(VLOOKUP(D357,元件库!$B:$O,10,FALSE),"1.00")</f>
        <v>1.00</v>
      </c>
      <c r="O357" s="337" t="str">
        <f>IFERROR(VLOOKUP(D357,元件库!$B:$O,11,FALSE),"")</f>
        <v/>
      </c>
      <c r="P357" s="57" t="str">
        <f t="shared" si="157"/>
        <v/>
      </c>
    </row>
    <row r="358" spans="1:17" s="23" customFormat="1" ht="16.5" customHeight="1" x14ac:dyDescent="0.2">
      <c r="A358" s="363">
        <f>COUNTIF(L$1:L358,"!")</f>
        <v>27</v>
      </c>
      <c r="B358" s="364" t="str">
        <f>A358&amp;"."&amp;COUNTIF(A$3:A358,A358)-1</f>
        <v>27.9</v>
      </c>
      <c r="C358" s="100" t="str">
        <f>IFERROR(VLOOKUP(D358,元件库!$B:$O,3,FALSE),"")</f>
        <v>浪涌保护器</v>
      </c>
      <c r="D358" s="41" t="s">
        <v>2921</v>
      </c>
      <c r="E358" s="101" t="s">
        <v>2883</v>
      </c>
      <c r="F358" s="101" t="s">
        <v>67</v>
      </c>
      <c r="G358" s="41" t="s">
        <v>29</v>
      </c>
      <c r="H358" s="41">
        <v>1</v>
      </c>
      <c r="I358" s="117">
        <f t="shared" si="158"/>
        <v>1.9E-2</v>
      </c>
      <c r="J358" s="117">
        <f t="shared" si="154"/>
        <v>1.9E-2</v>
      </c>
      <c r="K358" s="52"/>
      <c r="L358" s="53">
        <f t="shared" si="155"/>
        <v>1</v>
      </c>
      <c r="M358" s="69">
        <f t="shared" si="156"/>
        <v>190</v>
      </c>
      <c r="N358" s="55">
        <f>IFERROR(VLOOKUP(D358,元件库!$B:$O,10,FALSE),"1.00")</f>
        <v>1</v>
      </c>
      <c r="O358" s="337">
        <f>IFERROR(VLOOKUP(D358,元件库!$B:$O,11,FALSE),"")</f>
        <v>190</v>
      </c>
      <c r="P358" s="57" t="str">
        <f t="shared" si="157"/>
        <v/>
      </c>
    </row>
    <row r="359" spans="1:17" s="23" customFormat="1" ht="16.5" customHeight="1" x14ac:dyDescent="0.2">
      <c r="A359" s="363">
        <f>COUNTIF(L$1:L359,"!")</f>
        <v>27</v>
      </c>
      <c r="B359" s="364" t="str">
        <f>A359&amp;"."&amp;COUNTIF(A$3:A359,A359)-1</f>
        <v>27.10</v>
      </c>
      <c r="C359" s="100" t="str">
        <f>IFERROR(VLOOKUP(D359,元件库!$B:$O,3,FALSE),"")</f>
        <v/>
      </c>
      <c r="D359" s="41" t="s">
        <v>75</v>
      </c>
      <c r="E359" s="101" t="s">
        <v>2883</v>
      </c>
      <c r="F359" s="101" t="s">
        <v>32</v>
      </c>
      <c r="G359" s="41" t="s">
        <v>29</v>
      </c>
      <c r="H359" s="41">
        <v>4</v>
      </c>
      <c r="I359" s="117" t="str">
        <f t="shared" si="158"/>
        <v/>
      </c>
      <c r="J359" s="117" t="str">
        <f t="shared" si="154"/>
        <v/>
      </c>
      <c r="K359" s="52"/>
      <c r="L359" s="53">
        <f t="shared" si="155"/>
        <v>1</v>
      </c>
      <c r="M359" s="69" t="str">
        <f t="shared" si="156"/>
        <v/>
      </c>
      <c r="N359" s="55" t="str">
        <f>IFERROR(VLOOKUP(D359,元件库!$B:$O,10,FALSE),"1.00")</f>
        <v>1.00</v>
      </c>
      <c r="O359" s="337" t="str">
        <f>IFERROR(VLOOKUP(D359,元件库!$B:$O,11,FALSE),"")</f>
        <v/>
      </c>
      <c r="P359" s="57" t="str">
        <f t="shared" si="157"/>
        <v/>
      </c>
    </row>
    <row r="360" spans="1:17" s="23" customFormat="1" ht="16.5" customHeight="1" x14ac:dyDescent="0.2">
      <c r="A360" s="363">
        <f>COUNTIF(L$1:L360,"!")</f>
        <v>27</v>
      </c>
      <c r="B360" s="364" t="str">
        <f>A360&amp;"."&amp;COUNTIF(A$3:A360,A360)-1</f>
        <v>27.11</v>
      </c>
      <c r="C360" s="100" t="str">
        <f>IFERROR(VLOOKUP(D360,元件库!$B:$O,3,FALSE),"")</f>
        <v/>
      </c>
      <c r="D360" s="41" t="s">
        <v>2882</v>
      </c>
      <c r="E360" s="101" t="s">
        <v>2883</v>
      </c>
      <c r="F360" s="101" t="s">
        <v>32</v>
      </c>
      <c r="G360" s="41" t="s">
        <v>29</v>
      </c>
      <c r="H360" s="41">
        <v>4</v>
      </c>
      <c r="I360" s="117" t="str">
        <f>IFERROR(ROUND(L360*M360/10000,4),"")</f>
        <v/>
      </c>
      <c r="J360" s="117" t="str">
        <f>IFERROR(I360*H360,"")</f>
        <v/>
      </c>
      <c r="K360" s="52"/>
      <c r="L360" s="53">
        <f t="shared" si="155"/>
        <v>1</v>
      </c>
      <c r="M360" s="69" t="str">
        <f>IFERROR(O360*N360,"")</f>
        <v/>
      </c>
      <c r="N360" s="55" t="str">
        <f>IFERROR(VLOOKUP(D360,元件库!$B:$O,10,FALSE),"1.00")</f>
        <v>1.00</v>
      </c>
      <c r="O360" s="337" t="str">
        <f>IFERROR(VLOOKUP(D360,元件库!$B:$O,11,FALSE),"")</f>
        <v/>
      </c>
      <c r="P360" s="57" t="str">
        <f>IF(_xlfn.ISFORMULA(O360),"","值")</f>
        <v/>
      </c>
    </row>
    <row r="361" spans="1:17" s="23" customFormat="1" ht="16.5" customHeight="1" x14ac:dyDescent="0.2">
      <c r="A361" s="363">
        <f>COUNTIF(L$1:L361,"!")</f>
        <v>27</v>
      </c>
      <c r="B361" s="364" t="str">
        <f>A361&amp;"."&amp;COUNTIF(A$3:A361,A361)-1</f>
        <v>27.12</v>
      </c>
      <c r="C361" s="100" t="str">
        <f>IFERROR(VLOOKUP(D361,元件库!$B:$O,3,FALSE),"")</f>
        <v>指示灯</v>
      </c>
      <c r="D361" s="41" t="s">
        <v>35</v>
      </c>
      <c r="E361" s="101" t="s">
        <v>2883</v>
      </c>
      <c r="F361" s="101" t="s">
        <v>32</v>
      </c>
      <c r="G361" s="41" t="s">
        <v>29</v>
      </c>
      <c r="H361" s="41">
        <v>3</v>
      </c>
      <c r="I361" s="117">
        <f>IFERROR(ROUND(L361*M361/10000,4),"")</f>
        <v>2.0000000000000001E-4</v>
      </c>
      <c r="J361" s="117">
        <f>IFERROR(I361*H361,"")</f>
        <v>6.0000000000000006E-4</v>
      </c>
      <c r="K361" s="52"/>
      <c r="L361" s="53">
        <f t="shared" si="155"/>
        <v>1</v>
      </c>
      <c r="M361" s="69">
        <f>IFERROR(O361*N361,"")</f>
        <v>2.3100000000000005</v>
      </c>
      <c r="N361" s="55">
        <f>IFERROR(VLOOKUP(D361,元件库!$B:$O,10,FALSE),"1.00")</f>
        <v>0.55000000000000004</v>
      </c>
      <c r="O361" s="337">
        <f>IFERROR(VLOOKUP(D361,元件库!$B:$O,11,FALSE),"")</f>
        <v>4.2</v>
      </c>
      <c r="P361" s="57" t="str">
        <f>IF(_xlfn.ISFORMULA(O361),"","值")</f>
        <v/>
      </c>
    </row>
    <row r="362" spans="1:17" s="23" customFormat="1" ht="16.5" customHeight="1" x14ac:dyDescent="0.2">
      <c r="A362" s="363">
        <f>COUNTIF(L$1:L362,"!")</f>
        <v>27</v>
      </c>
      <c r="B362" s="364" t="str">
        <f>A362&amp;"."&amp;COUNTIF(A$3:A362,A362)-1</f>
        <v>27.13</v>
      </c>
      <c r="C362" s="100" t="str">
        <f>IFERROR(VLOOKUP(D362,元件库!$B:$O,3,FALSE),"")</f>
        <v/>
      </c>
      <c r="D362" s="41" t="s">
        <v>70</v>
      </c>
      <c r="E362" s="101" t="s">
        <v>2883</v>
      </c>
      <c r="F362" s="101" t="s">
        <v>32</v>
      </c>
      <c r="G362" s="41" t="s">
        <v>29</v>
      </c>
      <c r="H362" s="41">
        <v>2</v>
      </c>
      <c r="I362" s="117" t="str">
        <f>IFERROR(ROUND(L362*M362/10000,4),"")</f>
        <v/>
      </c>
      <c r="J362" s="117" t="str">
        <f>IFERROR(I362*H362,"")</f>
        <v/>
      </c>
      <c r="K362" s="52"/>
      <c r="L362" s="53">
        <f t="shared" si="155"/>
        <v>1</v>
      </c>
      <c r="M362" s="69" t="str">
        <f>IFERROR(O362*N362,"")</f>
        <v/>
      </c>
      <c r="N362" s="55" t="str">
        <f>IFERROR(VLOOKUP(D362,元件库!$B:$O,10,FALSE),"1.00")</f>
        <v>1.00</v>
      </c>
      <c r="O362" s="337" t="str">
        <f>IFERROR(VLOOKUP(D362,元件库!$B:$O,11,FALSE),"")</f>
        <v/>
      </c>
      <c r="P362" s="57" t="str">
        <f>IF(_xlfn.ISFORMULA(O362),"","值")</f>
        <v/>
      </c>
    </row>
    <row r="363" spans="1:17" s="23" customFormat="1" ht="16.5" customHeight="1" x14ac:dyDescent="0.2">
      <c r="A363" s="363">
        <f>COUNTIF(L$1:L363,"!")</f>
        <v>27</v>
      </c>
      <c r="B363" s="364" t="str">
        <f>A363&amp;"."&amp;COUNTIF(A$3:A363,A363)-1</f>
        <v>27.14</v>
      </c>
      <c r="C363" s="100" t="str">
        <f>IFERROR(VLOOKUP(D363,元件库!$B:$O,3,FALSE),"")</f>
        <v>铜排</v>
      </c>
      <c r="D363" s="41" t="s">
        <v>2886</v>
      </c>
      <c r="E363" s="101" t="s">
        <v>2885</v>
      </c>
      <c r="F363" s="101" t="s">
        <v>38</v>
      </c>
      <c r="G363" s="41" t="s">
        <v>39</v>
      </c>
      <c r="H363" s="41">
        <v>11</v>
      </c>
      <c r="I363" s="117">
        <f t="shared" ref="I363:I367" si="159">IFERROR(ROUND(L363*M363/10000,4),"")</f>
        <v>1.83E-2</v>
      </c>
      <c r="J363" s="117">
        <f t="shared" ref="J363:J367" si="160">IFERROR(I363*H363,"")</f>
        <v>0.20130000000000001</v>
      </c>
      <c r="K363" s="52"/>
      <c r="L363" s="53">
        <f t="shared" si="155"/>
        <v>1</v>
      </c>
      <c r="M363" s="69">
        <f t="shared" ref="M363:M367" si="161">IFERROR(O363*N363,"")</f>
        <v>182.62799999999999</v>
      </c>
      <c r="N363" s="55">
        <f>IFERROR(VLOOKUP(D363,元件库!$B:$O,10,FALSE),"1.00")</f>
        <v>1</v>
      </c>
      <c r="O363" s="337">
        <f>IFERROR(VLOOKUP(D363,元件库!$B:$O,11,FALSE),"")</f>
        <v>182.62799999999999</v>
      </c>
      <c r="P363" s="57" t="str">
        <f t="shared" ref="P363:P367" si="162">IF(_xlfn.ISFORMULA(O363),"","值")</f>
        <v/>
      </c>
    </row>
    <row r="364" spans="1:17" s="23" customFormat="1" ht="16.5" customHeight="1" x14ac:dyDescent="0.2">
      <c r="A364" s="363">
        <f>COUNTIF(L$1:L364,"!")</f>
        <v>27</v>
      </c>
      <c r="B364" s="364" t="str">
        <f>A364&amp;"."&amp;COUNTIF(A$3:A364,A364)-1</f>
        <v>27.15</v>
      </c>
      <c r="C364" s="100" t="s">
        <v>42</v>
      </c>
      <c r="D364" s="41" t="s">
        <v>2886</v>
      </c>
      <c r="E364" s="101" t="s">
        <v>37</v>
      </c>
      <c r="F364" s="101" t="s">
        <v>38</v>
      </c>
      <c r="G364" s="41" t="s">
        <v>39</v>
      </c>
      <c r="H364" s="41">
        <v>2.4</v>
      </c>
      <c r="I364" s="117">
        <f t="shared" si="159"/>
        <v>1.83E-2</v>
      </c>
      <c r="J364" s="117">
        <f t="shared" si="160"/>
        <v>4.3920000000000001E-2</v>
      </c>
      <c r="K364" s="52"/>
      <c r="L364" s="53">
        <f t="shared" si="155"/>
        <v>1</v>
      </c>
      <c r="M364" s="69">
        <f t="shared" si="161"/>
        <v>182.62799999999999</v>
      </c>
      <c r="N364" s="55">
        <f>IFERROR(VLOOKUP(D364,元件库!$B:$O,10,FALSE),"1.00")</f>
        <v>1</v>
      </c>
      <c r="O364" s="337">
        <f>IFERROR(VLOOKUP(D364,元件库!$B:$O,11,FALSE),"")</f>
        <v>182.62799999999999</v>
      </c>
      <c r="P364" s="57" t="str">
        <f t="shared" si="162"/>
        <v/>
      </c>
    </row>
    <row r="365" spans="1:17" s="23" customFormat="1" ht="16.5" customHeight="1" x14ac:dyDescent="0.2">
      <c r="A365" s="363">
        <f>COUNTIF(L$1:L365,"!")</f>
        <v>27</v>
      </c>
      <c r="B365" s="364" t="str">
        <f>A365&amp;"."&amp;COUNTIF(A$3:A365,A365)-1</f>
        <v>27.16</v>
      </c>
      <c r="C365" s="100" t="s">
        <v>44</v>
      </c>
      <c r="D365" s="41" t="s">
        <v>2886</v>
      </c>
      <c r="E365" s="101" t="s">
        <v>37</v>
      </c>
      <c r="F365" s="101" t="s">
        <v>38</v>
      </c>
      <c r="G365" s="41" t="s">
        <v>39</v>
      </c>
      <c r="H365" s="41">
        <v>2.2999999999999998</v>
      </c>
      <c r="I365" s="117">
        <f t="shared" si="159"/>
        <v>1.83E-2</v>
      </c>
      <c r="J365" s="117">
        <f t="shared" si="160"/>
        <v>4.2089999999999995E-2</v>
      </c>
      <c r="K365" s="52"/>
      <c r="L365" s="53">
        <f t="shared" si="155"/>
        <v>1</v>
      </c>
      <c r="M365" s="69">
        <f t="shared" si="161"/>
        <v>182.62799999999999</v>
      </c>
      <c r="N365" s="55">
        <f>IFERROR(VLOOKUP(D365,元件库!$B:$O,10,FALSE),"1.00")</f>
        <v>1</v>
      </c>
      <c r="O365" s="337">
        <f>IFERROR(VLOOKUP(D365,元件库!$B:$O,11,FALSE),"")</f>
        <v>182.62799999999999</v>
      </c>
      <c r="P365" s="57" t="str">
        <f t="shared" si="162"/>
        <v/>
      </c>
    </row>
    <row r="366" spans="1:17" s="23" customFormat="1" ht="16.5" customHeight="1" x14ac:dyDescent="0.2">
      <c r="A366" s="363">
        <f>COUNTIF(L$1:L366,"!")</f>
        <v>27</v>
      </c>
      <c r="B366" s="364" t="str">
        <f>A366&amp;"."&amp;COUNTIF(A$3:A366,A366)-1</f>
        <v>27.17</v>
      </c>
      <c r="C366" s="100" t="s">
        <v>45</v>
      </c>
      <c r="D366" s="41" t="s">
        <v>2975</v>
      </c>
      <c r="E366" s="101" t="s">
        <v>37</v>
      </c>
      <c r="F366" s="101" t="s">
        <v>38</v>
      </c>
      <c r="G366" s="41" t="s">
        <v>39</v>
      </c>
      <c r="H366" s="41">
        <v>0.8</v>
      </c>
      <c r="I366" s="117">
        <f t="shared" si="159"/>
        <v>8.0999999999999996E-3</v>
      </c>
      <c r="J366" s="117">
        <f t="shared" si="160"/>
        <v>6.4799999999999996E-3</v>
      </c>
      <c r="K366" s="52"/>
      <c r="L366" s="53">
        <f t="shared" si="155"/>
        <v>1</v>
      </c>
      <c r="M366" s="69">
        <f t="shared" si="161"/>
        <v>81.167999999999992</v>
      </c>
      <c r="N366" s="55">
        <f>IFERROR(VLOOKUP(D366,元件库!$B:$O,10,FALSE),"1.00")</f>
        <v>1</v>
      </c>
      <c r="O366" s="337">
        <f>IFERROR(VLOOKUP(D366,元件库!$B:$O,11,FALSE),"")</f>
        <v>81.167999999999992</v>
      </c>
      <c r="P366" s="57" t="str">
        <f t="shared" si="162"/>
        <v/>
      </c>
    </row>
    <row r="367" spans="1:17" s="23" customFormat="1" ht="16.5" customHeight="1" x14ac:dyDescent="0.2">
      <c r="A367" s="363">
        <f>COUNTIF(L$1:L367,"!")</f>
        <v>27</v>
      </c>
      <c r="B367" s="364" t="str">
        <f>A367&amp;"."&amp;COUNTIF(A$3:A367,A367)-1</f>
        <v>27.18</v>
      </c>
      <c r="C367" s="100" t="s">
        <v>51</v>
      </c>
      <c r="D367" s="41"/>
      <c r="E367" s="101"/>
      <c r="F367" s="101"/>
      <c r="G367" s="41" t="s">
        <v>2887</v>
      </c>
      <c r="H367" s="41">
        <v>1</v>
      </c>
      <c r="I367" s="117">
        <f t="shared" si="159"/>
        <v>0.11</v>
      </c>
      <c r="J367" s="117">
        <f t="shared" si="160"/>
        <v>0.11</v>
      </c>
      <c r="K367" s="52"/>
      <c r="L367" s="53">
        <f t="shared" si="155"/>
        <v>1</v>
      </c>
      <c r="M367" s="69">
        <f t="shared" si="161"/>
        <v>1100</v>
      </c>
      <c r="N367" s="55">
        <v>1</v>
      </c>
      <c r="O367" s="337">
        <v>1100</v>
      </c>
      <c r="P367" s="57" t="str">
        <f t="shared" si="162"/>
        <v>值</v>
      </c>
    </row>
    <row r="368" spans="1:17" s="23" customFormat="1" ht="27" customHeight="1" x14ac:dyDescent="0.2">
      <c r="A368" s="363">
        <f>COUNTIF(L$1:L368,"!")</f>
        <v>27</v>
      </c>
      <c r="B368" s="364" t="str">
        <f>A368&amp;"."&amp;COUNTIF(A$3:A368,A368)-1</f>
        <v>27.19</v>
      </c>
      <c r="C368" s="103" t="s">
        <v>53</v>
      </c>
      <c r="D368" s="104"/>
      <c r="E368" s="365"/>
      <c r="F368" s="101"/>
      <c r="G368" s="104"/>
      <c r="H368" s="104" t="s">
        <v>1</v>
      </c>
      <c r="I368" s="118" t="s">
        <v>52</v>
      </c>
      <c r="J368" s="366"/>
      <c r="K368" s="104"/>
      <c r="L368" s="53"/>
      <c r="M368" s="119"/>
      <c r="N368" s="70"/>
      <c r="O368" s="337"/>
    </row>
    <row r="369" spans="1:17" s="30" customFormat="1" ht="27" customHeight="1" x14ac:dyDescent="0.2">
      <c r="A369" s="363">
        <f>COUNTIF(L$1:L369,"!")</f>
        <v>27</v>
      </c>
      <c r="B369" s="364" t="str">
        <f>A369&amp;"."&amp;COUNTIF(A$3:A369,A369)-1</f>
        <v>27.20</v>
      </c>
      <c r="C369" s="103" t="s">
        <v>54</v>
      </c>
      <c r="D369" s="104"/>
      <c r="E369" s="365"/>
      <c r="F369" s="101"/>
      <c r="G369" s="104"/>
      <c r="H369" s="104"/>
      <c r="I369" s="118" t="s">
        <v>1</v>
      </c>
      <c r="J369" s="120">
        <f>SUM(J350:J368)</f>
        <v>1.07629</v>
      </c>
      <c r="K369" s="104"/>
      <c r="L369" s="53"/>
      <c r="M369" s="119"/>
      <c r="N369" s="70"/>
      <c r="O369" s="337"/>
      <c r="Q369" s="90"/>
    </row>
    <row r="370" spans="1:17" s="23" customFormat="1" ht="16.5" customHeight="1" x14ac:dyDescent="0.15">
      <c r="A370" s="97">
        <f>COUNTIF(L$1:L370,"!")</f>
        <v>28</v>
      </c>
      <c r="B370" s="32" t="str">
        <f>COUNTIF(L$2:L371,"!")&amp;"."</f>
        <v>28.</v>
      </c>
      <c r="C370" s="47" t="s">
        <v>2836</v>
      </c>
      <c r="D370" s="35" t="str">
        <f>D371</f>
        <v>GGD-800*600*2000</v>
      </c>
      <c r="E370" s="367" t="s">
        <v>22</v>
      </c>
      <c r="F370" s="367" t="s">
        <v>3261</v>
      </c>
      <c r="G370" s="34" t="s">
        <v>23</v>
      </c>
      <c r="H370" s="98">
        <v>1</v>
      </c>
      <c r="I370" s="115">
        <f>LOOKUP(0,0/((A370:A385=A370)*(C370:C385="合计金额（单位完整货物单价）")),J370:J385)</f>
        <v>0.62944</v>
      </c>
      <c r="J370" s="116">
        <f>IFERROR(I370*H370,"")</f>
        <v>0.62944</v>
      </c>
      <c r="K370" s="34"/>
      <c r="L370" s="48" t="s">
        <v>24</v>
      </c>
      <c r="M370" s="49"/>
      <c r="N370" s="50"/>
      <c r="O370" s="51"/>
      <c r="Q370" s="360">
        <f>COUNTIF(L$3:L370,"#")</f>
        <v>4</v>
      </c>
    </row>
    <row r="371" spans="1:17" s="23" customFormat="1" ht="16.5" customHeight="1" x14ac:dyDescent="0.2">
      <c r="A371" s="363">
        <f>COUNTIF(L$1:L371,"!")</f>
        <v>28</v>
      </c>
      <c r="B371" s="364" t="str">
        <f>A371&amp;"."&amp;COUNTIF(A$3:A371,A371)-1</f>
        <v>28.1</v>
      </c>
      <c r="C371" s="100" t="s">
        <v>25</v>
      </c>
      <c r="D371" s="41" t="s">
        <v>2925</v>
      </c>
      <c r="E371" s="101" t="s">
        <v>22</v>
      </c>
      <c r="F371" s="101" t="s">
        <v>3261</v>
      </c>
      <c r="G371" s="41" t="s">
        <v>23</v>
      </c>
      <c r="H371" s="41">
        <v>1</v>
      </c>
      <c r="I371" s="117">
        <f>IFERROR(ROUND(L371*M371/10000,4),"")</f>
        <v>0.155</v>
      </c>
      <c r="J371" s="117">
        <f t="shared" ref="J371:J383" si="163">IFERROR(I371*H371,"")</f>
        <v>0.155</v>
      </c>
      <c r="K371" s="52"/>
      <c r="L371" s="53">
        <f t="shared" ref="L371:L383" si="164">L$2</f>
        <v>1</v>
      </c>
      <c r="M371" s="69">
        <f t="shared" ref="M371:M383" si="165">IFERROR(O371*N371,"")</f>
        <v>1550</v>
      </c>
      <c r="N371" s="55">
        <f>IFERROR(VLOOKUP(D371,元件库!$B:$O,10,FALSE),"1.00")</f>
        <v>1</v>
      </c>
      <c r="O371" s="337">
        <f>IFERROR(VLOOKUP(D371,元件库!$B:$O,11,FALSE),"")</f>
        <v>1550</v>
      </c>
      <c r="P371" s="57" t="str">
        <f t="shared" ref="P371:P383" si="166">IF(_xlfn.ISFORMULA(O371),"","值")</f>
        <v/>
      </c>
      <c r="Q371" s="90"/>
    </row>
    <row r="372" spans="1:17" s="23" customFormat="1" ht="16.5" customHeight="1" x14ac:dyDescent="0.2">
      <c r="A372" s="363">
        <f>COUNTIF(L$1:L372,"!")</f>
        <v>28</v>
      </c>
      <c r="B372" s="364" t="str">
        <f>A372&amp;"."&amp;COUNTIF(A$3:A372,A372)-1</f>
        <v>28.2</v>
      </c>
      <c r="C372" s="100" t="str">
        <f>IFERROR(VLOOKUP(D372,元件库!$B:$O,3,FALSE),"")</f>
        <v/>
      </c>
      <c r="D372" s="41" t="s">
        <v>2976</v>
      </c>
      <c r="E372" s="101" t="s">
        <v>22</v>
      </c>
      <c r="F372" s="101" t="s">
        <v>32</v>
      </c>
      <c r="G372" s="41" t="s">
        <v>29</v>
      </c>
      <c r="H372" s="41">
        <v>2</v>
      </c>
      <c r="I372" s="117" t="str">
        <f t="shared" ref="I372:I383" si="167">IFERROR(ROUND(L372*M372/10000,4),"")</f>
        <v/>
      </c>
      <c r="J372" s="117" t="str">
        <f t="shared" si="163"/>
        <v/>
      </c>
      <c r="K372" s="52"/>
      <c r="L372" s="53">
        <f t="shared" si="164"/>
        <v>1</v>
      </c>
      <c r="M372" s="69" t="str">
        <f t="shared" si="165"/>
        <v/>
      </c>
      <c r="N372" s="55" t="str">
        <f>IFERROR(VLOOKUP(D372,元件库!$B:$O,10,FALSE),"1.00")</f>
        <v>1.00</v>
      </c>
      <c r="O372" s="337" t="str">
        <f>IFERROR(VLOOKUP(D372,元件库!$B:$O,11,FALSE),"")</f>
        <v/>
      </c>
      <c r="P372" s="57" t="str">
        <f t="shared" si="166"/>
        <v/>
      </c>
      <c r="Q372" s="90"/>
    </row>
    <row r="373" spans="1:17" s="23" customFormat="1" ht="16.5" customHeight="1" x14ac:dyDescent="0.2">
      <c r="A373" s="363">
        <f>COUNTIF(L$1:L373,"!")</f>
        <v>28</v>
      </c>
      <c r="B373" s="364" t="str">
        <f>A373&amp;"."&amp;COUNTIF(A$3:A373,A373)-1</f>
        <v>28.3</v>
      </c>
      <c r="C373" s="100" t="str">
        <f>IFERROR(VLOOKUP(D373,元件库!$B:$O,3,FALSE),"")</f>
        <v/>
      </c>
      <c r="D373" s="41" t="s">
        <v>2890</v>
      </c>
      <c r="E373" s="101" t="s">
        <v>22</v>
      </c>
      <c r="F373" s="101" t="s">
        <v>32</v>
      </c>
      <c r="G373" s="41" t="s">
        <v>29</v>
      </c>
      <c r="H373" s="41">
        <v>2</v>
      </c>
      <c r="I373" s="117" t="str">
        <f t="shared" si="167"/>
        <v/>
      </c>
      <c r="J373" s="117" t="str">
        <f t="shared" si="163"/>
        <v/>
      </c>
      <c r="K373" s="52"/>
      <c r="L373" s="53">
        <f t="shared" si="164"/>
        <v>1</v>
      </c>
      <c r="M373" s="69" t="str">
        <f t="shared" si="165"/>
        <v/>
      </c>
      <c r="N373" s="55" t="str">
        <f>IFERROR(VLOOKUP(D373,元件库!$B:$O,10,FALSE),"1.00")</f>
        <v>1.00</v>
      </c>
      <c r="O373" s="337" t="str">
        <f>IFERROR(VLOOKUP(D373,元件库!$B:$O,11,FALSE),"")</f>
        <v/>
      </c>
      <c r="P373" s="57" t="str">
        <f t="shared" si="166"/>
        <v/>
      </c>
      <c r="Q373" s="90"/>
    </row>
    <row r="374" spans="1:17" s="23" customFormat="1" ht="16.5" customHeight="1" x14ac:dyDescent="0.2">
      <c r="A374" s="363">
        <f>COUNTIF(L$1:L374,"!")</f>
        <v>28</v>
      </c>
      <c r="B374" s="364" t="str">
        <f>A374&amp;"."&amp;COUNTIF(A$3:A374,A374)-1</f>
        <v>28.4</v>
      </c>
      <c r="C374" s="100" t="str">
        <f>IFERROR(VLOOKUP(D374,元件库!$B:$O,3,FALSE),"")</f>
        <v>塑壳断路器</v>
      </c>
      <c r="D374" s="41" t="s">
        <v>2977</v>
      </c>
      <c r="E374" s="101" t="s">
        <v>22</v>
      </c>
      <c r="F374" s="101" t="s">
        <v>28</v>
      </c>
      <c r="G374" s="41" t="s">
        <v>29</v>
      </c>
      <c r="H374" s="41">
        <v>2</v>
      </c>
      <c r="I374" s="117">
        <f t="shared" si="167"/>
        <v>4.7300000000000002E-2</v>
      </c>
      <c r="J374" s="117">
        <f t="shared" si="163"/>
        <v>9.4600000000000004E-2</v>
      </c>
      <c r="K374" s="52"/>
      <c r="L374" s="53">
        <f t="shared" si="164"/>
        <v>1</v>
      </c>
      <c r="M374" s="69">
        <f t="shared" si="165"/>
        <v>473</v>
      </c>
      <c r="N374" s="55">
        <f>IFERROR(VLOOKUP(D374,元件库!$B:$O,10,FALSE),"1.00")</f>
        <v>1</v>
      </c>
      <c r="O374" s="337">
        <f>IFERROR(VLOOKUP(D374,元件库!$B:$O,11,FALSE),"")</f>
        <v>473</v>
      </c>
      <c r="P374" s="57" t="str">
        <f t="shared" si="166"/>
        <v/>
      </c>
      <c r="Q374" s="90"/>
    </row>
    <row r="375" spans="1:17" s="23" customFormat="1" ht="16.5" customHeight="1" x14ac:dyDescent="0.2">
      <c r="A375" s="363">
        <f>COUNTIF(L$1:L375,"!")</f>
        <v>28</v>
      </c>
      <c r="B375" s="364" t="str">
        <f>A375&amp;"."&amp;COUNTIF(A$3:A375,A375)-1</f>
        <v>28.5</v>
      </c>
      <c r="C375" s="100" t="str">
        <f>IFERROR(VLOOKUP(D375,元件库!$B:$O,3,FALSE),"")</f>
        <v>塑壳断路器</v>
      </c>
      <c r="D375" s="41" t="s">
        <v>2892</v>
      </c>
      <c r="E375" s="101" t="s">
        <v>22</v>
      </c>
      <c r="F375" s="101" t="s">
        <v>28</v>
      </c>
      <c r="G375" s="41" t="s">
        <v>29</v>
      </c>
      <c r="H375" s="41">
        <v>2</v>
      </c>
      <c r="I375" s="117">
        <f t="shared" si="167"/>
        <v>7.3499999999999996E-2</v>
      </c>
      <c r="J375" s="117">
        <f t="shared" si="163"/>
        <v>0.14699999999999999</v>
      </c>
      <c r="K375" s="52"/>
      <c r="L375" s="53">
        <f t="shared" si="164"/>
        <v>1</v>
      </c>
      <c r="M375" s="69">
        <f t="shared" si="165"/>
        <v>735</v>
      </c>
      <c r="N375" s="55">
        <f>IFERROR(VLOOKUP(D375,元件库!$B:$O,10,FALSE),"1.00")</f>
        <v>1</v>
      </c>
      <c r="O375" s="337">
        <f>IFERROR(VLOOKUP(D375,元件库!$B:$O,11,FALSE),"")</f>
        <v>735</v>
      </c>
      <c r="P375" s="57" t="str">
        <f t="shared" si="166"/>
        <v/>
      </c>
    </row>
    <row r="376" spans="1:17" s="23" customFormat="1" ht="16.5" customHeight="1" x14ac:dyDescent="0.2">
      <c r="A376" s="363">
        <f>COUNTIF(L$1:L376,"!")</f>
        <v>28</v>
      </c>
      <c r="B376" s="364" t="str">
        <f>A376&amp;"."&amp;COUNTIF(A$3:A376,A376)-1</f>
        <v>28.6</v>
      </c>
      <c r="C376" s="100" t="str">
        <f>IFERROR(VLOOKUP(D376,元件库!$B:$O,3,FALSE),"")</f>
        <v/>
      </c>
      <c r="D376" s="41" t="s">
        <v>2882</v>
      </c>
      <c r="E376" s="101" t="s">
        <v>22</v>
      </c>
      <c r="F376" s="101" t="s">
        <v>32</v>
      </c>
      <c r="G376" s="41" t="s">
        <v>29</v>
      </c>
      <c r="H376" s="41">
        <v>4</v>
      </c>
      <c r="I376" s="117" t="str">
        <f t="shared" si="167"/>
        <v/>
      </c>
      <c r="J376" s="117" t="str">
        <f t="shared" si="163"/>
        <v/>
      </c>
      <c r="K376" s="52"/>
      <c r="L376" s="53">
        <f t="shared" si="164"/>
        <v>1</v>
      </c>
      <c r="M376" s="69" t="str">
        <f t="shared" si="165"/>
        <v/>
      </c>
      <c r="N376" s="55" t="str">
        <f>IFERROR(VLOOKUP(D376,元件库!$B:$O,10,FALSE),"1.00")</f>
        <v>1.00</v>
      </c>
      <c r="O376" s="337" t="str">
        <f>IFERROR(VLOOKUP(D376,元件库!$B:$O,11,FALSE),"")</f>
        <v/>
      </c>
      <c r="P376" s="57" t="str">
        <f t="shared" si="166"/>
        <v/>
      </c>
    </row>
    <row r="377" spans="1:17" s="23" customFormat="1" ht="16.5" customHeight="1" x14ac:dyDescent="0.2">
      <c r="A377" s="363">
        <f>COUNTIF(L$1:L377,"!")</f>
        <v>28</v>
      </c>
      <c r="B377" s="364" t="str">
        <f>A377&amp;"."&amp;COUNTIF(A$3:A377,A377)-1</f>
        <v>28.7</v>
      </c>
      <c r="C377" s="100" t="str">
        <f>IFERROR(VLOOKUP(D377,元件库!$B:$O,3,FALSE),"")</f>
        <v>指示灯</v>
      </c>
      <c r="D377" s="41" t="s">
        <v>35</v>
      </c>
      <c r="E377" s="101" t="s">
        <v>22</v>
      </c>
      <c r="F377" s="101" t="s">
        <v>32</v>
      </c>
      <c r="G377" s="41" t="s">
        <v>29</v>
      </c>
      <c r="H377" s="41">
        <v>4</v>
      </c>
      <c r="I377" s="117">
        <f t="shared" si="167"/>
        <v>2.0000000000000001E-4</v>
      </c>
      <c r="J377" s="117">
        <f t="shared" si="163"/>
        <v>8.0000000000000004E-4</v>
      </c>
      <c r="K377" s="52"/>
      <c r="L377" s="53">
        <f t="shared" si="164"/>
        <v>1</v>
      </c>
      <c r="M377" s="69">
        <f t="shared" si="165"/>
        <v>2.3100000000000005</v>
      </c>
      <c r="N377" s="55">
        <f>IFERROR(VLOOKUP(D377,元件库!$B:$O,10,FALSE),"1.00")</f>
        <v>0.55000000000000004</v>
      </c>
      <c r="O377" s="337">
        <f>IFERROR(VLOOKUP(D377,元件库!$B:$O,11,FALSE),"")</f>
        <v>4.2</v>
      </c>
      <c r="P377" s="57" t="str">
        <f t="shared" si="166"/>
        <v/>
      </c>
    </row>
    <row r="378" spans="1:17" s="23" customFormat="1" ht="16.5" customHeight="1" x14ac:dyDescent="0.2">
      <c r="A378" s="363">
        <f>COUNTIF(L$1:L378,"!")</f>
        <v>28</v>
      </c>
      <c r="B378" s="364" t="str">
        <f>A378&amp;"."&amp;COUNTIF(A$3:A378,A378)-1</f>
        <v>28.8</v>
      </c>
      <c r="C378" s="100" t="str">
        <f>IFERROR(VLOOKUP(D378,元件库!$B:$O,3,FALSE),"")</f>
        <v>铜排</v>
      </c>
      <c r="D378" s="41" t="s">
        <v>2978</v>
      </c>
      <c r="E378" s="101" t="s">
        <v>37</v>
      </c>
      <c r="F378" s="101" t="s">
        <v>38</v>
      </c>
      <c r="G378" s="41" t="s">
        <v>39</v>
      </c>
      <c r="H378" s="41">
        <v>5</v>
      </c>
      <c r="I378" s="117">
        <f t="shared" si="167"/>
        <v>3.8E-3</v>
      </c>
      <c r="J378" s="117">
        <f t="shared" si="163"/>
        <v>1.9E-2</v>
      </c>
      <c r="K378" s="52"/>
      <c r="L378" s="53">
        <f t="shared" si="164"/>
        <v>1</v>
      </c>
      <c r="M378" s="69">
        <f t="shared" si="165"/>
        <v>38.047499999999999</v>
      </c>
      <c r="N378" s="55">
        <f>IFERROR(VLOOKUP(D378,元件库!$B:$O,10,FALSE),"1.00")</f>
        <v>1</v>
      </c>
      <c r="O378" s="337">
        <f>IFERROR(VLOOKUP(D378,元件库!$B:$O,11,FALSE),"")</f>
        <v>38.047499999999999</v>
      </c>
      <c r="P378" s="57" t="str">
        <f t="shared" si="166"/>
        <v/>
      </c>
    </row>
    <row r="379" spans="1:17" s="23" customFormat="1" ht="16.5" customHeight="1" x14ac:dyDescent="0.2">
      <c r="A379" s="363">
        <f>COUNTIF(L$1:L379,"!")</f>
        <v>28</v>
      </c>
      <c r="B379" s="364" t="str">
        <f>A379&amp;"."&amp;COUNTIF(A$3:A379,A379)-1</f>
        <v>28.9</v>
      </c>
      <c r="C379" s="100" t="str">
        <f>IFERROR(VLOOKUP(D379,元件库!$B:$O,3,FALSE),"")</f>
        <v>铜排</v>
      </c>
      <c r="D379" s="41" t="s">
        <v>2894</v>
      </c>
      <c r="E379" s="101" t="s">
        <v>37</v>
      </c>
      <c r="F379" s="101" t="s">
        <v>38</v>
      </c>
      <c r="G379" s="41" t="s">
        <v>39</v>
      </c>
      <c r="H379" s="41">
        <v>5</v>
      </c>
      <c r="I379" s="117">
        <f t="shared" si="167"/>
        <v>7.6E-3</v>
      </c>
      <c r="J379" s="117">
        <f t="shared" si="163"/>
        <v>3.7999999999999999E-2</v>
      </c>
      <c r="K379" s="52"/>
      <c r="L379" s="53">
        <f t="shared" si="164"/>
        <v>1</v>
      </c>
      <c r="M379" s="69">
        <f t="shared" si="165"/>
        <v>76.094999999999999</v>
      </c>
      <c r="N379" s="55">
        <f>IFERROR(VLOOKUP(D379,元件库!$B:$O,10,FALSE),"1.00")</f>
        <v>1</v>
      </c>
      <c r="O379" s="337">
        <f>IFERROR(VLOOKUP(D379,元件库!$B:$O,11,FALSE),"")</f>
        <v>76.094999999999999</v>
      </c>
      <c r="P379" s="57" t="str">
        <f t="shared" si="166"/>
        <v/>
      </c>
    </row>
    <row r="380" spans="1:17" s="23" customFormat="1" ht="16.5" customHeight="1" x14ac:dyDescent="0.2">
      <c r="A380" s="363">
        <f>COUNTIF(L$1:L380,"!")</f>
        <v>28</v>
      </c>
      <c r="B380" s="364" t="str">
        <f>A380&amp;"."&amp;COUNTIF(A$3:A380,A380)-1</f>
        <v>28.10</v>
      </c>
      <c r="C380" s="100" t="s">
        <v>42</v>
      </c>
      <c r="D380" s="41" t="s">
        <v>2886</v>
      </c>
      <c r="E380" s="101" t="s">
        <v>37</v>
      </c>
      <c r="F380" s="101" t="s">
        <v>38</v>
      </c>
      <c r="G380" s="41" t="s">
        <v>39</v>
      </c>
      <c r="H380" s="41">
        <v>2.4</v>
      </c>
      <c r="I380" s="117">
        <f t="shared" si="167"/>
        <v>1.83E-2</v>
      </c>
      <c r="J380" s="117">
        <f t="shared" si="163"/>
        <v>4.3920000000000001E-2</v>
      </c>
      <c r="K380" s="52"/>
      <c r="L380" s="53">
        <f t="shared" si="164"/>
        <v>1</v>
      </c>
      <c r="M380" s="69">
        <f t="shared" si="165"/>
        <v>182.62799999999999</v>
      </c>
      <c r="N380" s="55">
        <f>IFERROR(VLOOKUP(D380,元件库!$B:$O,10,FALSE),"1.00")</f>
        <v>1</v>
      </c>
      <c r="O380" s="337">
        <f>IFERROR(VLOOKUP(D380,元件库!$B:$O,11,FALSE),"")</f>
        <v>182.62799999999999</v>
      </c>
      <c r="P380" s="57" t="str">
        <f t="shared" si="166"/>
        <v/>
      </c>
      <c r="Q380" s="59" t="str">
        <f>IFERROR(LOOKUP(0,0/((A$2:A378=A380)*(C$2:C378="壳体W*H*D")),D$2:D378),LOOKUP(0,0/((A$2:A378=A380)*(C$2:C378="壳体W*D*H")),D$2:D378))</f>
        <v>GGD-800*600*2000</v>
      </c>
    </row>
    <row r="381" spans="1:17" s="23" customFormat="1" ht="16.5" customHeight="1" x14ac:dyDescent="0.2">
      <c r="A381" s="363">
        <f>COUNTIF(L$1:L381,"!")</f>
        <v>28</v>
      </c>
      <c r="B381" s="364" t="str">
        <f>A381&amp;"."&amp;COUNTIF(A$3:A381,A381)-1</f>
        <v>28.11</v>
      </c>
      <c r="C381" s="100" t="s">
        <v>44</v>
      </c>
      <c r="D381" s="41" t="s">
        <v>2886</v>
      </c>
      <c r="E381" s="101" t="s">
        <v>37</v>
      </c>
      <c r="F381" s="101" t="s">
        <v>38</v>
      </c>
      <c r="G381" s="41" t="s">
        <v>39</v>
      </c>
      <c r="H381" s="41">
        <v>0.8</v>
      </c>
      <c r="I381" s="117">
        <f t="shared" si="167"/>
        <v>1.83E-2</v>
      </c>
      <c r="J381" s="117">
        <f t="shared" si="163"/>
        <v>1.464E-2</v>
      </c>
      <c r="K381" s="52"/>
      <c r="L381" s="53">
        <f t="shared" si="164"/>
        <v>1</v>
      </c>
      <c r="M381" s="69">
        <f t="shared" si="165"/>
        <v>182.62799999999999</v>
      </c>
      <c r="N381" s="55">
        <f>IFERROR(VLOOKUP(D381,元件库!$B:$O,10,FALSE),"1.00")</f>
        <v>1</v>
      </c>
      <c r="O381" s="337">
        <f>IFERROR(VLOOKUP(D381,元件库!$B:$O,11,FALSE),"")</f>
        <v>182.62799999999999</v>
      </c>
      <c r="P381" s="57" t="str">
        <f t="shared" si="166"/>
        <v/>
      </c>
      <c r="Q381" s="59" t="str">
        <f>IFERROR(LOOKUP(0,0/((A$2:A380=A381)*(C$2:C380="壳体W*H*D")),D$2:D380),LOOKUP(0,0/((A$2:A380=A381)*(C$2:C380="壳体W*D*H")),D$2:D380))</f>
        <v>GGD-800*600*2000</v>
      </c>
    </row>
    <row r="382" spans="1:17" s="23" customFormat="1" ht="16.5" customHeight="1" x14ac:dyDescent="0.2">
      <c r="A382" s="363">
        <f>COUNTIF(L$1:L382,"!")</f>
        <v>28</v>
      </c>
      <c r="B382" s="364" t="str">
        <f>A382&amp;"."&amp;COUNTIF(A$3:A382,A382)-1</f>
        <v>28.12</v>
      </c>
      <c r="C382" s="100" t="s">
        <v>45</v>
      </c>
      <c r="D382" s="41" t="s">
        <v>2975</v>
      </c>
      <c r="E382" s="101" t="s">
        <v>37</v>
      </c>
      <c r="F382" s="101" t="s">
        <v>38</v>
      </c>
      <c r="G382" s="41" t="s">
        <v>39</v>
      </c>
      <c r="H382" s="41">
        <v>0.8</v>
      </c>
      <c r="I382" s="117">
        <f t="shared" si="167"/>
        <v>8.0999999999999996E-3</v>
      </c>
      <c r="J382" s="117">
        <f t="shared" si="163"/>
        <v>6.4799999999999996E-3</v>
      </c>
      <c r="K382" s="52"/>
      <c r="L382" s="53">
        <f t="shared" si="164"/>
        <v>1</v>
      </c>
      <c r="M382" s="69">
        <f t="shared" si="165"/>
        <v>81.167999999999992</v>
      </c>
      <c r="N382" s="55">
        <f>IFERROR(VLOOKUP(D382,元件库!$B:$O,10,FALSE),"1.00")</f>
        <v>1</v>
      </c>
      <c r="O382" s="337">
        <f>IFERROR(VLOOKUP(D382,元件库!$B:$O,11,FALSE),"")</f>
        <v>81.167999999999992</v>
      </c>
      <c r="P382" s="57" t="str">
        <f t="shared" si="166"/>
        <v/>
      </c>
      <c r="Q382" s="59" t="str">
        <f>IFERROR(LOOKUP(0,0/((A$2:A381=A382)*(C$2:C381="壳体W*H*D")),D$2:D381),LOOKUP(0,0/((A$2:A381=A382)*(C$2:C381="壳体W*D*H")),D$2:D381))</f>
        <v>GGD-800*600*2000</v>
      </c>
    </row>
    <row r="383" spans="1:17" s="23" customFormat="1" ht="16.5" customHeight="1" x14ac:dyDescent="0.2">
      <c r="A383" s="363">
        <f>COUNTIF(L$1:L383,"!")</f>
        <v>28</v>
      </c>
      <c r="B383" s="364" t="str">
        <f>A383&amp;"."&amp;COUNTIF(A$3:A383,A383)-1</f>
        <v>28.13</v>
      </c>
      <c r="C383" s="100" t="s">
        <v>51</v>
      </c>
      <c r="D383" s="41"/>
      <c r="E383" s="101"/>
      <c r="F383" s="101"/>
      <c r="G383" s="41" t="s">
        <v>2887</v>
      </c>
      <c r="H383" s="41">
        <v>1</v>
      </c>
      <c r="I383" s="117">
        <f t="shared" si="167"/>
        <v>0.11</v>
      </c>
      <c r="J383" s="117">
        <f t="shared" si="163"/>
        <v>0.11</v>
      </c>
      <c r="K383" s="52"/>
      <c r="L383" s="53">
        <f t="shared" si="164"/>
        <v>1</v>
      </c>
      <c r="M383" s="69">
        <f t="shared" si="165"/>
        <v>1100</v>
      </c>
      <c r="N383" s="55">
        <v>1</v>
      </c>
      <c r="O383" s="337">
        <v>1100</v>
      </c>
      <c r="P383" s="57" t="str">
        <f t="shared" si="166"/>
        <v>值</v>
      </c>
    </row>
    <row r="384" spans="1:17" s="23" customFormat="1" ht="27" customHeight="1" x14ac:dyDescent="0.2">
      <c r="A384" s="363">
        <f>COUNTIF(L$1:L384,"!")</f>
        <v>28</v>
      </c>
      <c r="B384" s="364" t="str">
        <f>A384&amp;"."&amp;COUNTIF(A$3:A384,A384)-1</f>
        <v>28.14</v>
      </c>
      <c r="C384" s="103" t="s">
        <v>53</v>
      </c>
      <c r="D384" s="104"/>
      <c r="E384" s="365"/>
      <c r="F384" s="101"/>
      <c r="G384" s="104"/>
      <c r="H384" s="104" t="s">
        <v>1</v>
      </c>
      <c r="I384" s="118" t="s">
        <v>52</v>
      </c>
      <c r="J384" s="366"/>
      <c r="K384" s="104"/>
      <c r="L384" s="53"/>
      <c r="M384" s="119"/>
      <c r="N384" s="70"/>
      <c r="O384" s="337"/>
    </row>
    <row r="385" spans="1:17" s="30" customFormat="1" ht="27" customHeight="1" x14ac:dyDescent="0.2">
      <c r="A385" s="363">
        <f>COUNTIF(L$1:L385,"!")</f>
        <v>28</v>
      </c>
      <c r="B385" s="364" t="str">
        <f>A385&amp;"."&amp;COUNTIF(A$3:A385,A385)-1</f>
        <v>28.15</v>
      </c>
      <c r="C385" s="103" t="s">
        <v>54</v>
      </c>
      <c r="D385" s="104"/>
      <c r="E385" s="365"/>
      <c r="F385" s="101"/>
      <c r="G385" s="104"/>
      <c r="H385" s="104"/>
      <c r="I385" s="118" t="s">
        <v>1</v>
      </c>
      <c r="J385" s="120">
        <f>SUM(J371:J384)</f>
        <v>0.62944</v>
      </c>
      <c r="K385" s="104"/>
      <c r="L385" s="53"/>
      <c r="M385" s="119"/>
      <c r="N385" s="70"/>
      <c r="O385" s="337"/>
      <c r="Q385" s="90"/>
    </row>
    <row r="386" spans="1:17" s="23" customFormat="1" ht="16.5" customHeight="1" x14ac:dyDescent="0.15">
      <c r="A386" s="97">
        <f>COUNTIF(L$1:L386,"!")</f>
        <v>29</v>
      </c>
      <c r="B386" s="32" t="str">
        <f>COUNTIF(L$2:L387,"!")&amp;"."</f>
        <v>29.</v>
      </c>
      <c r="C386" s="47" t="s">
        <v>2847</v>
      </c>
      <c r="D386" s="35" t="s">
        <v>2848</v>
      </c>
      <c r="E386" s="367" t="s">
        <v>22</v>
      </c>
      <c r="F386" s="367" t="s">
        <v>3261</v>
      </c>
      <c r="G386" s="34" t="s">
        <v>23</v>
      </c>
      <c r="H386" s="98">
        <v>1</v>
      </c>
      <c r="I386" s="115">
        <f>LOOKUP(0,0/((A386:A407=A386)*(C386:C407="合计金额（单位完整货物单价）")),J386:J407)</f>
        <v>0.77154</v>
      </c>
      <c r="J386" s="116">
        <f>IFERROR(I386*H386,"")</f>
        <v>0.77154</v>
      </c>
      <c r="K386" s="34"/>
      <c r="L386" s="48" t="s">
        <v>24</v>
      </c>
      <c r="M386" s="49"/>
      <c r="N386" s="50"/>
      <c r="O386" s="51"/>
      <c r="Q386" s="360">
        <f>COUNTIF(L$3:L386,"#")</f>
        <v>4</v>
      </c>
    </row>
    <row r="387" spans="1:17" s="23" customFormat="1" ht="16.5" customHeight="1" x14ac:dyDescent="0.2">
      <c r="A387" s="363">
        <f>COUNTIF(L$1:L387,"!")</f>
        <v>29</v>
      </c>
      <c r="B387" s="364" t="str">
        <f>A387&amp;"."&amp;COUNTIF(A$3:A387,A387)-1</f>
        <v>29.1</v>
      </c>
      <c r="C387" s="100" t="s">
        <v>25</v>
      </c>
      <c r="D387" s="41" t="s">
        <v>2925</v>
      </c>
      <c r="E387" s="101" t="s">
        <v>22</v>
      </c>
      <c r="F387" s="101" t="s">
        <v>3261</v>
      </c>
      <c r="G387" s="41" t="s">
        <v>23</v>
      </c>
      <c r="H387" s="41">
        <v>1</v>
      </c>
      <c r="I387" s="117">
        <f>IFERROR(ROUND(L387*M387/10000,4),"")</f>
        <v>0.155</v>
      </c>
      <c r="J387" s="117">
        <f t="shared" ref="J387:J396" si="168">IFERROR(I387*H387,"")</f>
        <v>0.155</v>
      </c>
      <c r="K387" s="52"/>
      <c r="L387" s="53">
        <f t="shared" ref="L387:L404" si="169">L$2</f>
        <v>1</v>
      </c>
      <c r="M387" s="69">
        <f t="shared" ref="M387:M396" si="170">IFERROR(O387*N387,"")</f>
        <v>1550</v>
      </c>
      <c r="N387" s="55">
        <f>IFERROR(VLOOKUP(D387,元件库!$B:$O,10,FALSE),"1.00")</f>
        <v>1</v>
      </c>
      <c r="O387" s="337">
        <f>IFERROR(VLOOKUP(D387,元件库!$B:$O,11,FALSE),"")</f>
        <v>1550</v>
      </c>
      <c r="P387" s="57" t="str">
        <f t="shared" ref="P387:P396" si="171">IF(_xlfn.ISFORMULA(O387),"","值")</f>
        <v/>
      </c>
      <c r="Q387" s="90"/>
    </row>
    <row r="388" spans="1:17" s="23" customFormat="1" ht="16.5" customHeight="1" x14ac:dyDescent="0.2">
      <c r="A388" s="363">
        <f>COUNTIF(L$1:L388,"!")</f>
        <v>29</v>
      </c>
      <c r="B388" s="364" t="str">
        <f>A388&amp;"."&amp;COUNTIF(A$3:A388,A388)-1</f>
        <v>29.2</v>
      </c>
      <c r="C388" s="100" t="str">
        <f>IFERROR(VLOOKUP(D388,元件库!$B:$O,3,FALSE),"")</f>
        <v>刀开关</v>
      </c>
      <c r="D388" s="41" t="s">
        <v>2979</v>
      </c>
      <c r="E388" s="101" t="s">
        <v>22</v>
      </c>
      <c r="F388" s="101" t="s">
        <v>32</v>
      </c>
      <c r="G388" s="41" t="s">
        <v>29</v>
      </c>
      <c r="H388" s="41">
        <v>1</v>
      </c>
      <c r="I388" s="117">
        <f>IFERROR(ROUND(L388*M388/10000,4),"")</f>
        <v>1.2699999999999999E-2</v>
      </c>
      <c r="J388" s="117">
        <f t="shared" si="168"/>
        <v>1.2699999999999999E-2</v>
      </c>
      <c r="K388" s="52"/>
      <c r="L388" s="53">
        <f t="shared" si="169"/>
        <v>1</v>
      </c>
      <c r="M388" s="69">
        <f t="shared" si="170"/>
        <v>126.50000000000001</v>
      </c>
      <c r="N388" s="55">
        <f>IFERROR(VLOOKUP(D388,元件库!$B:$O,10,FALSE),"1.00")</f>
        <v>0.55000000000000004</v>
      </c>
      <c r="O388" s="337">
        <f>IFERROR(VLOOKUP(D388,元件库!$B:$O,11,FALSE),"")</f>
        <v>230</v>
      </c>
      <c r="P388" s="57" t="str">
        <f t="shared" si="171"/>
        <v/>
      </c>
      <c r="Q388" s="90"/>
    </row>
    <row r="389" spans="1:17" s="23" customFormat="1" ht="16.5" customHeight="1" x14ac:dyDescent="0.2">
      <c r="A389" s="363">
        <f>COUNTIF(L$1:L389,"!")</f>
        <v>29</v>
      </c>
      <c r="B389" s="364" t="str">
        <f>A389&amp;"."&amp;COUNTIF(A$3:A389,A389)-1</f>
        <v>29.3</v>
      </c>
      <c r="C389" s="100" t="str">
        <f>IFERROR(VLOOKUP(D389,元件库!$B:$O,3,FALSE),"")</f>
        <v/>
      </c>
      <c r="D389" s="41" t="s">
        <v>2980</v>
      </c>
      <c r="E389" s="101" t="s">
        <v>22</v>
      </c>
      <c r="F389" s="101" t="s">
        <v>32</v>
      </c>
      <c r="G389" s="41" t="s">
        <v>29</v>
      </c>
      <c r="H389" s="41">
        <v>3</v>
      </c>
      <c r="I389" s="117" t="str">
        <f t="shared" ref="I389:I396" si="172">IFERROR(ROUND(L389*M389/10000,4),"")</f>
        <v/>
      </c>
      <c r="J389" s="117" t="str">
        <f t="shared" si="168"/>
        <v/>
      </c>
      <c r="K389" s="52"/>
      <c r="L389" s="53">
        <f t="shared" si="169"/>
        <v>1</v>
      </c>
      <c r="M389" s="69" t="str">
        <f t="shared" si="170"/>
        <v/>
      </c>
      <c r="N389" s="55" t="str">
        <f>IFERROR(VLOOKUP(D389,元件库!$B:$O,10,FALSE),"1.00")</f>
        <v>1.00</v>
      </c>
      <c r="O389" s="337" t="str">
        <f>IFERROR(VLOOKUP(D389,元件库!$B:$O,11,FALSE),"")</f>
        <v/>
      </c>
      <c r="P389" s="57" t="str">
        <f t="shared" si="171"/>
        <v/>
      </c>
      <c r="Q389" s="90"/>
    </row>
    <row r="390" spans="1:17" s="23" customFormat="1" ht="16.5" customHeight="1" x14ac:dyDescent="0.2">
      <c r="A390" s="363">
        <f>COUNTIF(L$1:L390,"!")</f>
        <v>29</v>
      </c>
      <c r="B390" s="364" t="str">
        <f>A390&amp;"."&amp;COUNTIF(A$3:A390,A390)-1</f>
        <v>29.4</v>
      </c>
      <c r="C390" s="100" t="str">
        <f>IFERROR(VLOOKUP(D390,元件库!$B:$O,3,FALSE),"")</f>
        <v>电流.电压表</v>
      </c>
      <c r="D390" s="41" t="s">
        <v>145</v>
      </c>
      <c r="E390" s="101" t="s">
        <v>22</v>
      </c>
      <c r="F390" s="101" t="s">
        <v>32</v>
      </c>
      <c r="G390" s="41" t="s">
        <v>29</v>
      </c>
      <c r="H390" s="41">
        <v>3</v>
      </c>
      <c r="I390" s="117">
        <f t="shared" si="172"/>
        <v>1.4E-3</v>
      </c>
      <c r="J390" s="117">
        <f t="shared" si="168"/>
        <v>4.1999999999999997E-3</v>
      </c>
      <c r="K390" s="52"/>
      <c r="L390" s="53">
        <f t="shared" si="169"/>
        <v>1</v>
      </c>
      <c r="M390" s="69">
        <f t="shared" si="170"/>
        <v>13.750000000000002</v>
      </c>
      <c r="N390" s="55">
        <f>IFERROR(VLOOKUP(D390,元件库!$B:$O,10,FALSE),"1.00")</f>
        <v>0.55000000000000004</v>
      </c>
      <c r="O390" s="337">
        <f>IFERROR(VLOOKUP(D390,元件库!$B:$O,11,FALSE),"")</f>
        <v>25</v>
      </c>
      <c r="P390" s="57" t="str">
        <f t="shared" si="171"/>
        <v/>
      </c>
      <c r="Q390" s="90"/>
    </row>
    <row r="391" spans="1:17" s="23" customFormat="1" ht="16.5" customHeight="1" x14ac:dyDescent="0.2">
      <c r="A391" s="363">
        <f>COUNTIF(L$1:L391,"!")</f>
        <v>29</v>
      </c>
      <c r="B391" s="364" t="str">
        <f>A391&amp;"."&amp;COUNTIF(A$3:A391,A391)-1</f>
        <v>29.5</v>
      </c>
      <c r="C391" s="100" t="str">
        <f>IFERROR(VLOOKUP(D391,元件库!$B:$O,3,FALSE),"")</f>
        <v>电流.电压表</v>
      </c>
      <c r="D391" s="41" t="s">
        <v>150</v>
      </c>
      <c r="E391" s="101" t="s">
        <v>22</v>
      </c>
      <c r="F391" s="101" t="s">
        <v>32</v>
      </c>
      <c r="G391" s="41" t="s">
        <v>29</v>
      </c>
      <c r="H391" s="41">
        <v>1</v>
      </c>
      <c r="I391" s="117">
        <f t="shared" si="172"/>
        <v>1.4E-3</v>
      </c>
      <c r="J391" s="117">
        <f t="shared" si="168"/>
        <v>1.4E-3</v>
      </c>
      <c r="K391" s="52"/>
      <c r="L391" s="53">
        <f t="shared" si="169"/>
        <v>1</v>
      </c>
      <c r="M391" s="69">
        <f t="shared" si="170"/>
        <v>13.750000000000002</v>
      </c>
      <c r="N391" s="55">
        <f>IFERROR(VLOOKUP(D391,元件库!$B:$O,10,FALSE),"1.00")</f>
        <v>0.55000000000000004</v>
      </c>
      <c r="O391" s="337">
        <f>IFERROR(VLOOKUP(D391,元件库!$B:$O,11,FALSE),"")</f>
        <v>25</v>
      </c>
      <c r="P391" s="57" t="str">
        <f t="shared" si="171"/>
        <v/>
      </c>
    </row>
    <row r="392" spans="1:17" s="23" customFormat="1" ht="16.5" customHeight="1" x14ac:dyDescent="0.2">
      <c r="A392" s="363">
        <f>COUNTIF(L$1:L392,"!")</f>
        <v>29</v>
      </c>
      <c r="B392" s="364" t="str">
        <f>A392&amp;"."&amp;COUNTIF(A$3:A392,A392)-1</f>
        <v>29.6</v>
      </c>
      <c r="C392" s="100" t="str">
        <f>IFERROR(VLOOKUP(D392,元件库!$B:$O,3,FALSE),"")</f>
        <v/>
      </c>
      <c r="D392" s="41" t="s">
        <v>2830</v>
      </c>
      <c r="E392" s="101" t="s">
        <v>22</v>
      </c>
      <c r="F392" s="101" t="s">
        <v>32</v>
      </c>
      <c r="G392" s="41" t="s">
        <v>29</v>
      </c>
      <c r="H392" s="41">
        <v>1</v>
      </c>
      <c r="I392" s="117" t="str">
        <f t="shared" si="172"/>
        <v/>
      </c>
      <c r="J392" s="117" t="str">
        <f t="shared" si="168"/>
        <v/>
      </c>
      <c r="K392" s="52"/>
      <c r="L392" s="53">
        <f t="shared" si="169"/>
        <v>1</v>
      </c>
      <c r="M392" s="69" t="str">
        <f t="shared" si="170"/>
        <v/>
      </c>
      <c r="N392" s="55" t="str">
        <f>IFERROR(VLOOKUP(D392,元件库!$B:$O,10,FALSE),"1.00")</f>
        <v>1.00</v>
      </c>
      <c r="O392" s="337" t="str">
        <f>IFERROR(VLOOKUP(D392,元件库!$B:$O,11,FALSE),"")</f>
        <v/>
      </c>
      <c r="P392" s="57" t="str">
        <f t="shared" si="171"/>
        <v/>
      </c>
    </row>
    <row r="393" spans="1:17" s="23" customFormat="1" ht="16.5" customHeight="1" x14ac:dyDescent="0.2">
      <c r="A393" s="363">
        <f>COUNTIF(L$1:L393,"!")</f>
        <v>29</v>
      </c>
      <c r="B393" s="364" t="str">
        <f>A393&amp;"."&amp;COUNTIF(A$3:A393,A393)-1</f>
        <v>29.7</v>
      </c>
      <c r="C393" s="100" t="str">
        <f>IFERROR(VLOOKUP(D393,元件库!$B:$O,3,FALSE),"")</f>
        <v>智能电容器</v>
      </c>
      <c r="D393" s="41" t="s">
        <v>2981</v>
      </c>
      <c r="E393" s="101" t="s">
        <v>22</v>
      </c>
      <c r="F393" s="101" t="s">
        <v>1467</v>
      </c>
      <c r="G393" s="41" t="s">
        <v>29</v>
      </c>
      <c r="H393" s="41">
        <v>2</v>
      </c>
      <c r="I393" s="117">
        <f t="shared" si="172"/>
        <v>5.6000000000000001E-2</v>
      </c>
      <c r="J393" s="117">
        <f t="shared" si="168"/>
        <v>0.112</v>
      </c>
      <c r="K393" s="52"/>
      <c r="L393" s="53">
        <f t="shared" si="169"/>
        <v>1</v>
      </c>
      <c r="M393" s="69">
        <f t="shared" si="170"/>
        <v>560</v>
      </c>
      <c r="N393" s="55">
        <f>IFERROR(VLOOKUP(D393,元件库!$B:$O,10,FALSE),"1.00")</f>
        <v>1</v>
      </c>
      <c r="O393" s="337">
        <f>IFERROR(VLOOKUP(D393,元件库!$B:$O,11,FALSE),"")</f>
        <v>560</v>
      </c>
      <c r="P393" s="57" t="str">
        <f t="shared" si="171"/>
        <v/>
      </c>
    </row>
    <row r="394" spans="1:17" s="23" customFormat="1" ht="16.5" customHeight="1" x14ac:dyDescent="0.2">
      <c r="A394" s="363">
        <f>COUNTIF(L$1:L394,"!")</f>
        <v>29</v>
      </c>
      <c r="B394" s="364" t="str">
        <f>A394&amp;"."&amp;COUNTIF(A$3:A394,A394)-1</f>
        <v>29.8</v>
      </c>
      <c r="C394" s="100" t="str">
        <f>IFERROR(VLOOKUP(D394,元件库!$B:$O,3,FALSE),"")</f>
        <v>智能电容器</v>
      </c>
      <c r="D394" s="41" t="s">
        <v>2982</v>
      </c>
      <c r="E394" s="101" t="s">
        <v>22</v>
      </c>
      <c r="F394" s="101" t="s">
        <v>1467</v>
      </c>
      <c r="G394" s="41" t="s">
        <v>29</v>
      </c>
      <c r="H394" s="41">
        <v>4</v>
      </c>
      <c r="I394" s="117">
        <f t="shared" si="172"/>
        <v>5.3999999999999999E-2</v>
      </c>
      <c r="J394" s="117">
        <f t="shared" si="168"/>
        <v>0.216</v>
      </c>
      <c r="K394" s="52"/>
      <c r="L394" s="53">
        <f t="shared" si="169"/>
        <v>1</v>
      </c>
      <c r="M394" s="69">
        <f t="shared" si="170"/>
        <v>540</v>
      </c>
      <c r="N394" s="55">
        <f>IFERROR(VLOOKUP(D394,元件库!$B:$O,10,FALSE),"1.00")</f>
        <v>1</v>
      </c>
      <c r="O394" s="337">
        <f>IFERROR(VLOOKUP(D394,元件库!$B:$O,11,FALSE),"")</f>
        <v>540</v>
      </c>
      <c r="P394" s="57" t="str">
        <f t="shared" si="171"/>
        <v/>
      </c>
    </row>
    <row r="395" spans="1:17" s="23" customFormat="1" ht="16.5" customHeight="1" x14ac:dyDescent="0.2">
      <c r="A395" s="363">
        <f>COUNTIF(L$1:L395,"!")</f>
        <v>29</v>
      </c>
      <c r="B395" s="364" t="str">
        <f>A395&amp;"."&amp;COUNTIF(A$3:A395,A395)-1</f>
        <v>29.9</v>
      </c>
      <c r="C395" s="100" t="str">
        <f>IFERROR(VLOOKUP(D395,元件库!$B:$O,3,FALSE),"")</f>
        <v>补偿控制器</v>
      </c>
      <c r="D395" s="41" t="s">
        <v>1481</v>
      </c>
      <c r="E395" s="101" t="s">
        <v>22</v>
      </c>
      <c r="F395" s="101" t="s">
        <v>1467</v>
      </c>
      <c r="G395" s="41" t="s">
        <v>29</v>
      </c>
      <c r="H395" s="41">
        <v>1</v>
      </c>
      <c r="I395" s="117">
        <f t="shared" si="172"/>
        <v>3.6999999999999998E-2</v>
      </c>
      <c r="J395" s="117">
        <f t="shared" si="168"/>
        <v>3.6999999999999998E-2</v>
      </c>
      <c r="K395" s="52"/>
      <c r="L395" s="53">
        <f t="shared" si="169"/>
        <v>1</v>
      </c>
      <c r="M395" s="69">
        <f t="shared" si="170"/>
        <v>370</v>
      </c>
      <c r="N395" s="55">
        <f>IFERROR(VLOOKUP(D395,元件库!$B:$O,10,FALSE),"1.00")</f>
        <v>1</v>
      </c>
      <c r="O395" s="337">
        <f>IFERROR(VLOOKUP(D395,元件库!$B:$O,11,FALSE),"")</f>
        <v>370</v>
      </c>
      <c r="P395" s="57" t="str">
        <f t="shared" si="171"/>
        <v/>
      </c>
    </row>
    <row r="396" spans="1:17" s="23" customFormat="1" ht="16.5" customHeight="1" x14ac:dyDescent="0.2">
      <c r="A396" s="363">
        <f>COUNTIF(L$1:L396,"!")</f>
        <v>29</v>
      </c>
      <c r="B396" s="364" t="str">
        <f>A396&amp;"."&amp;COUNTIF(A$3:A396,A396)-1</f>
        <v>29.10</v>
      </c>
      <c r="C396" s="100" t="str">
        <f>IFERROR(VLOOKUP(D396,元件库!$B:$O,3,FALSE),"")</f>
        <v>浪涌保护器</v>
      </c>
      <c r="D396" s="41" t="s">
        <v>1452</v>
      </c>
      <c r="E396" s="101" t="s">
        <v>22</v>
      </c>
      <c r="F396" s="101" t="s">
        <v>67</v>
      </c>
      <c r="G396" s="41" t="s">
        <v>29</v>
      </c>
      <c r="H396" s="41">
        <v>1</v>
      </c>
      <c r="I396" s="117">
        <f t="shared" si="172"/>
        <v>1.9E-2</v>
      </c>
      <c r="J396" s="117">
        <f t="shared" si="168"/>
        <v>1.9E-2</v>
      </c>
      <c r="K396" s="52"/>
      <c r="L396" s="53">
        <f t="shared" si="169"/>
        <v>1</v>
      </c>
      <c r="M396" s="69">
        <f t="shared" si="170"/>
        <v>190</v>
      </c>
      <c r="N396" s="55">
        <f>IFERROR(VLOOKUP(D396,元件库!$B:$O,10,FALSE),"1.00")</f>
        <v>1</v>
      </c>
      <c r="O396" s="337">
        <f>IFERROR(VLOOKUP(D396,元件库!$B:$O,11,FALSE),"")</f>
        <v>190</v>
      </c>
      <c r="P396" s="57" t="str">
        <f t="shared" si="171"/>
        <v/>
      </c>
    </row>
    <row r="397" spans="1:17" s="23" customFormat="1" ht="16.5" customHeight="1" x14ac:dyDescent="0.2">
      <c r="A397" s="363">
        <f>COUNTIF(L$1:L397,"!")</f>
        <v>29</v>
      </c>
      <c r="B397" s="364" t="str">
        <f>A397&amp;"."&amp;COUNTIF(A$3:A397,A397)-1</f>
        <v>29.11</v>
      </c>
      <c r="C397" s="100" t="str">
        <f>IFERROR(VLOOKUP(D397,元件库!$B:$O,3,FALSE),"")</f>
        <v/>
      </c>
      <c r="D397" s="41" t="s">
        <v>65</v>
      </c>
      <c r="E397" s="101" t="s">
        <v>22</v>
      </c>
      <c r="F397" s="101" t="s">
        <v>32</v>
      </c>
      <c r="G397" s="41" t="s">
        <v>29</v>
      </c>
      <c r="H397" s="41">
        <v>4</v>
      </c>
      <c r="I397" s="117" t="str">
        <f>IFERROR(ROUND(L397*M397/10000,4),"")</f>
        <v/>
      </c>
      <c r="J397" s="117" t="str">
        <f>IFERROR(I397*H397,"")</f>
        <v/>
      </c>
      <c r="K397" s="52"/>
      <c r="L397" s="53">
        <f t="shared" si="169"/>
        <v>1</v>
      </c>
      <c r="M397" s="69" t="str">
        <f>IFERROR(O397*N397,"")</f>
        <v/>
      </c>
      <c r="N397" s="55" t="str">
        <f>IFERROR(VLOOKUP(D397,元件库!$B:$O,10,FALSE),"1.00")</f>
        <v>1.00</v>
      </c>
      <c r="O397" s="337" t="str">
        <f>IFERROR(VLOOKUP(D397,元件库!$B:$O,11,FALSE),"")</f>
        <v/>
      </c>
      <c r="P397" s="57" t="str">
        <f>IF(_xlfn.ISFORMULA(O397),"","值")</f>
        <v/>
      </c>
    </row>
    <row r="398" spans="1:17" s="23" customFormat="1" ht="16.5" customHeight="1" x14ac:dyDescent="0.2">
      <c r="A398" s="363">
        <f>COUNTIF(L$1:L398,"!")</f>
        <v>29</v>
      </c>
      <c r="B398" s="364" t="str">
        <f>A398&amp;"."&amp;COUNTIF(A$3:A398,A398)-1</f>
        <v>29.12</v>
      </c>
      <c r="C398" s="100" t="str">
        <f>IFERROR(VLOOKUP(D398,元件库!$B:$O,3,FALSE),"")</f>
        <v/>
      </c>
      <c r="D398" s="41" t="s">
        <v>2832</v>
      </c>
      <c r="E398" s="101" t="s">
        <v>22</v>
      </c>
      <c r="F398" s="101" t="s">
        <v>32</v>
      </c>
      <c r="G398" s="41" t="s">
        <v>29</v>
      </c>
      <c r="H398" s="41">
        <v>10</v>
      </c>
      <c r="I398" s="117" t="str">
        <f>IFERROR(ROUND(L398*M398/10000,4),"")</f>
        <v/>
      </c>
      <c r="J398" s="117" t="str">
        <f>IFERROR(I398*H398,"")</f>
        <v/>
      </c>
      <c r="K398" s="52"/>
      <c r="L398" s="53">
        <f t="shared" si="169"/>
        <v>1</v>
      </c>
      <c r="M398" s="69" t="str">
        <f>IFERROR(O398*N398,"")</f>
        <v/>
      </c>
      <c r="N398" s="55" t="str">
        <f>IFERROR(VLOOKUP(D398,元件库!$B:$O,10,FALSE),"1.00")</f>
        <v>1.00</v>
      </c>
      <c r="O398" s="337" t="str">
        <f>IFERROR(VLOOKUP(D398,元件库!$B:$O,11,FALSE),"")</f>
        <v/>
      </c>
      <c r="P398" s="57" t="str">
        <f>IF(_xlfn.ISFORMULA(O398),"","值")</f>
        <v/>
      </c>
    </row>
    <row r="399" spans="1:17" s="23" customFormat="1" ht="16.5" customHeight="1" x14ac:dyDescent="0.2">
      <c r="A399" s="363">
        <f>COUNTIF(L$1:L399,"!")</f>
        <v>29</v>
      </c>
      <c r="B399" s="364" t="str">
        <f>A399&amp;"."&amp;COUNTIF(A$3:A399,A399)-1</f>
        <v>29.13</v>
      </c>
      <c r="C399" s="100" t="str">
        <f>IFERROR(VLOOKUP(D399,元件库!$B:$O,3,FALSE),"")</f>
        <v>指示灯</v>
      </c>
      <c r="D399" s="41" t="s">
        <v>35</v>
      </c>
      <c r="E399" s="101" t="s">
        <v>22</v>
      </c>
      <c r="F399" s="101" t="s">
        <v>32</v>
      </c>
      <c r="G399" s="41" t="s">
        <v>29</v>
      </c>
      <c r="H399" s="41">
        <v>6</v>
      </c>
      <c r="I399" s="117">
        <f>IFERROR(ROUND(L399*M399/10000,4),"")</f>
        <v>2.0000000000000001E-4</v>
      </c>
      <c r="J399" s="117">
        <f>IFERROR(I399*H399,"")</f>
        <v>1.2000000000000001E-3</v>
      </c>
      <c r="K399" s="52"/>
      <c r="L399" s="53">
        <f t="shared" si="169"/>
        <v>1</v>
      </c>
      <c r="M399" s="69">
        <f>IFERROR(O399*N399,"")</f>
        <v>2.3100000000000005</v>
      </c>
      <c r="N399" s="55">
        <f>IFERROR(VLOOKUP(D399,元件库!$B:$O,10,FALSE),"1.00")</f>
        <v>0.55000000000000004</v>
      </c>
      <c r="O399" s="337">
        <f>IFERROR(VLOOKUP(D399,元件库!$B:$O,11,FALSE),"")</f>
        <v>4.2</v>
      </c>
      <c r="P399" s="57" t="str">
        <f>IF(_xlfn.ISFORMULA(O399),"","值")</f>
        <v/>
      </c>
    </row>
    <row r="400" spans="1:17" s="23" customFormat="1" ht="16.5" customHeight="1" x14ac:dyDescent="0.2">
      <c r="A400" s="363">
        <f>COUNTIF(L$1:L400,"!")</f>
        <v>29</v>
      </c>
      <c r="B400" s="364" t="str">
        <f>A400&amp;"."&amp;COUNTIF(A$3:A400,A400)-1</f>
        <v>29.14</v>
      </c>
      <c r="C400" s="100" t="str">
        <f>IFERROR(VLOOKUP(D400,元件库!$B:$O,3,FALSE),"")</f>
        <v>铜排</v>
      </c>
      <c r="D400" s="41" t="s">
        <v>2983</v>
      </c>
      <c r="E400" s="101" t="s">
        <v>37</v>
      </c>
      <c r="F400" s="101" t="s">
        <v>38</v>
      </c>
      <c r="G400" s="41" t="s">
        <v>39</v>
      </c>
      <c r="H400" s="41">
        <v>6</v>
      </c>
      <c r="I400" s="117">
        <f t="shared" ref="I400:I404" si="173">IFERROR(ROUND(L400*M400/10000,4),"")</f>
        <v>3.0000000000000001E-3</v>
      </c>
      <c r="J400" s="117">
        <f t="shared" ref="J400:J404" si="174">IFERROR(I400*H400,"")</f>
        <v>1.8000000000000002E-2</v>
      </c>
      <c r="K400" s="52"/>
      <c r="L400" s="53">
        <f t="shared" si="169"/>
        <v>1</v>
      </c>
      <c r="M400" s="69">
        <f t="shared" ref="M400:M404" si="175">IFERROR(O400*N400,"")</f>
        <v>30.437999999999999</v>
      </c>
      <c r="N400" s="55">
        <f>IFERROR(VLOOKUP(D400,元件库!$B:$O,10,FALSE),"1.00")</f>
        <v>1</v>
      </c>
      <c r="O400" s="337">
        <f>IFERROR(VLOOKUP(D400,元件库!$B:$O,11,FALSE),"")</f>
        <v>30.437999999999999</v>
      </c>
      <c r="P400" s="57" t="str">
        <f t="shared" ref="P400:P404" si="176">IF(_xlfn.ISFORMULA(O400),"","值")</f>
        <v/>
      </c>
    </row>
    <row r="401" spans="1:19" s="23" customFormat="1" ht="16.5" customHeight="1" x14ac:dyDescent="0.2">
      <c r="A401" s="363">
        <f>COUNTIF(L$1:L401,"!")</f>
        <v>29</v>
      </c>
      <c r="B401" s="364" t="str">
        <f>A401&amp;"."&amp;COUNTIF(A$3:A401,A401)-1</f>
        <v>29.15</v>
      </c>
      <c r="C401" s="100" t="s">
        <v>42</v>
      </c>
      <c r="D401" s="41" t="s">
        <v>2886</v>
      </c>
      <c r="E401" s="101" t="s">
        <v>37</v>
      </c>
      <c r="F401" s="101" t="s">
        <v>38</v>
      </c>
      <c r="G401" s="41" t="s">
        <v>39</v>
      </c>
      <c r="H401" s="41">
        <v>2.4</v>
      </c>
      <c r="I401" s="117">
        <f t="shared" si="173"/>
        <v>1.83E-2</v>
      </c>
      <c r="J401" s="117">
        <f t="shared" si="174"/>
        <v>4.3920000000000001E-2</v>
      </c>
      <c r="K401" s="52"/>
      <c r="L401" s="53">
        <f t="shared" si="169"/>
        <v>1</v>
      </c>
      <c r="M401" s="69">
        <f t="shared" si="175"/>
        <v>182.62799999999999</v>
      </c>
      <c r="N401" s="55">
        <f>IFERROR(VLOOKUP(D401,元件库!$B:$O,10,FALSE),"1.00")</f>
        <v>1</v>
      </c>
      <c r="O401" s="337">
        <f>IFERROR(VLOOKUP(D401,元件库!$B:$O,11,FALSE),"")</f>
        <v>182.62799999999999</v>
      </c>
      <c r="P401" s="57" t="str">
        <f t="shared" si="176"/>
        <v/>
      </c>
    </row>
    <row r="402" spans="1:19" s="23" customFormat="1" ht="16.5" customHeight="1" x14ac:dyDescent="0.2">
      <c r="A402" s="363">
        <f>COUNTIF(L$1:L402,"!")</f>
        <v>29</v>
      </c>
      <c r="B402" s="364" t="str">
        <f>A402&amp;"."&amp;COUNTIF(A$3:A402,A402)-1</f>
        <v>29.16</v>
      </c>
      <c r="C402" s="100" t="s">
        <v>44</v>
      </c>
      <c r="D402" s="41" t="s">
        <v>2833</v>
      </c>
      <c r="E402" s="101" t="s">
        <v>37</v>
      </c>
      <c r="F402" s="101" t="s">
        <v>38</v>
      </c>
      <c r="G402" s="41" t="s">
        <v>39</v>
      </c>
      <c r="H402" s="41">
        <v>0.8</v>
      </c>
      <c r="I402" s="117">
        <f t="shared" si="173"/>
        <v>1.83E-2</v>
      </c>
      <c r="J402" s="117">
        <f t="shared" si="174"/>
        <v>1.464E-2</v>
      </c>
      <c r="K402" s="52"/>
      <c r="L402" s="53">
        <f t="shared" si="169"/>
        <v>1</v>
      </c>
      <c r="M402" s="69">
        <f t="shared" si="175"/>
        <v>182.62799999999999</v>
      </c>
      <c r="N402" s="55">
        <f>IFERROR(VLOOKUP(D402,元件库!$B:$O,10,FALSE),"1.00")</f>
        <v>1</v>
      </c>
      <c r="O402" s="337">
        <f>IFERROR(VLOOKUP(D402,元件库!$B:$O,11,FALSE),"")</f>
        <v>182.62799999999999</v>
      </c>
      <c r="P402" s="57" t="str">
        <f t="shared" si="176"/>
        <v/>
      </c>
    </row>
    <row r="403" spans="1:19" s="23" customFormat="1" ht="16.5" customHeight="1" x14ac:dyDescent="0.2">
      <c r="A403" s="363">
        <f>COUNTIF(L$1:L403,"!")</f>
        <v>29</v>
      </c>
      <c r="B403" s="364" t="str">
        <f>A403&amp;"."&amp;COUNTIF(A$3:A403,A403)-1</f>
        <v>29.17</v>
      </c>
      <c r="C403" s="100" t="s">
        <v>45</v>
      </c>
      <c r="D403" s="41" t="s">
        <v>2984</v>
      </c>
      <c r="E403" s="101" t="s">
        <v>37</v>
      </c>
      <c r="F403" s="101" t="s">
        <v>38</v>
      </c>
      <c r="G403" s="41" t="s">
        <v>39</v>
      </c>
      <c r="H403" s="41">
        <v>0.8</v>
      </c>
      <c r="I403" s="117">
        <f t="shared" si="173"/>
        <v>8.0999999999999996E-3</v>
      </c>
      <c r="J403" s="117">
        <f t="shared" si="174"/>
        <v>6.4799999999999996E-3</v>
      </c>
      <c r="K403" s="52"/>
      <c r="L403" s="53">
        <f t="shared" si="169"/>
        <v>1</v>
      </c>
      <c r="M403" s="69">
        <f t="shared" si="175"/>
        <v>81.167999999999992</v>
      </c>
      <c r="N403" s="55">
        <f>IFERROR(VLOOKUP(D403,元件库!$B:$O,10,FALSE),"1.00")</f>
        <v>1</v>
      </c>
      <c r="O403" s="337">
        <f>IFERROR(VLOOKUP(D403,元件库!$B:$O,11,FALSE),"")</f>
        <v>81.167999999999992</v>
      </c>
      <c r="P403" s="57" t="str">
        <f t="shared" si="176"/>
        <v/>
      </c>
    </row>
    <row r="404" spans="1:19" s="23" customFormat="1" ht="16.5" customHeight="1" x14ac:dyDescent="0.2">
      <c r="A404" s="363">
        <f>COUNTIF(L$1:L404,"!")</f>
        <v>29</v>
      </c>
      <c r="B404" s="364" t="str">
        <f>A404&amp;"."&amp;COUNTIF(A$3:A404,A404)-1</f>
        <v>29.18</v>
      </c>
      <c r="C404" s="100" t="s">
        <v>51</v>
      </c>
      <c r="D404" s="41"/>
      <c r="E404" s="101"/>
      <c r="F404" s="101"/>
      <c r="G404" s="41" t="s">
        <v>2887</v>
      </c>
      <c r="H404" s="41">
        <v>1</v>
      </c>
      <c r="I404" s="117">
        <f t="shared" si="173"/>
        <v>0.13</v>
      </c>
      <c r="J404" s="117">
        <f t="shared" si="174"/>
        <v>0.13</v>
      </c>
      <c r="K404" s="52"/>
      <c r="L404" s="53">
        <f t="shared" si="169"/>
        <v>1</v>
      </c>
      <c r="M404" s="69">
        <f t="shared" si="175"/>
        <v>1300</v>
      </c>
      <c r="N404" s="55">
        <v>1</v>
      </c>
      <c r="O404" s="337">
        <v>1300</v>
      </c>
      <c r="P404" s="57" t="str">
        <f t="shared" si="176"/>
        <v>值</v>
      </c>
    </row>
    <row r="405" spans="1:19" s="23" customFormat="1" ht="27" customHeight="1" x14ac:dyDescent="0.2">
      <c r="A405" s="363">
        <f>COUNTIF(L$1:L405,"!")</f>
        <v>29</v>
      </c>
      <c r="B405" s="364" t="str">
        <f>A405&amp;"."&amp;COUNTIF(A$3:A405,A405)-1</f>
        <v>29.19</v>
      </c>
      <c r="C405" s="103" t="s">
        <v>53</v>
      </c>
      <c r="D405" s="104"/>
      <c r="E405" s="365"/>
      <c r="F405" s="101"/>
      <c r="G405" s="104"/>
      <c r="H405" s="104" t="s">
        <v>1</v>
      </c>
      <c r="I405" s="118" t="s">
        <v>52</v>
      </c>
      <c r="J405" s="366"/>
      <c r="K405" s="104"/>
      <c r="L405" s="53"/>
      <c r="M405" s="119"/>
      <c r="N405" s="70"/>
      <c r="O405" s="337"/>
    </row>
    <row r="406" spans="1:19" s="30" customFormat="1" ht="27" customHeight="1" x14ac:dyDescent="0.2">
      <c r="A406" s="363">
        <f>COUNTIF(L$1:L406,"!")</f>
        <v>29</v>
      </c>
      <c r="B406" s="364" t="str">
        <f>A406&amp;"."&amp;COUNTIF(A$3:A406,A406)-1</f>
        <v>29.20</v>
      </c>
      <c r="C406" s="103" t="s">
        <v>54</v>
      </c>
      <c r="D406" s="104"/>
      <c r="E406" s="365"/>
      <c r="F406" s="101"/>
      <c r="G406" s="104"/>
      <c r="H406" s="104"/>
      <c r="I406" s="118" t="s">
        <v>1</v>
      </c>
      <c r="J406" s="120">
        <f>SUM(J387:J405)</f>
        <v>0.77154</v>
      </c>
      <c r="K406" s="104"/>
      <c r="L406" s="53"/>
      <c r="M406" s="119"/>
      <c r="N406" s="70"/>
      <c r="O406" s="337"/>
      <c r="Q406" s="90"/>
    </row>
    <row r="407" spans="1:19" s="23" customFormat="1" ht="16.5" customHeight="1" x14ac:dyDescent="0.15">
      <c r="A407" s="97">
        <f>COUNTIF(L$1:L407,"!")</f>
        <v>30</v>
      </c>
      <c r="B407" s="32" t="str">
        <f>COUNTIF(L$2:L407,"!")&amp;"."</f>
        <v>30.</v>
      </c>
      <c r="C407" s="47" t="s">
        <v>2853</v>
      </c>
      <c r="D407" s="35" t="s">
        <v>2985</v>
      </c>
      <c r="E407" s="367" t="s">
        <v>22</v>
      </c>
      <c r="F407" s="367" t="s">
        <v>3261</v>
      </c>
      <c r="G407" s="34" t="s">
        <v>23</v>
      </c>
      <c r="H407" s="98">
        <v>1</v>
      </c>
      <c r="I407" s="115">
        <f>LOOKUP(0,0/((A407:A427=A407)*(C407:C427="合计金额（单位完整货物单价）")),J407:J427)</f>
        <v>4.1612</v>
      </c>
      <c r="J407" s="116">
        <f>IFERROR(I407*H407,"")</f>
        <v>4.1612</v>
      </c>
      <c r="K407" s="34"/>
      <c r="L407" s="48" t="s">
        <v>24</v>
      </c>
      <c r="M407" s="49"/>
      <c r="N407" s="50"/>
      <c r="O407" s="51"/>
      <c r="Q407" s="360">
        <f>COUNTIF(L$3:L407,"#")</f>
        <v>4</v>
      </c>
    </row>
    <row r="408" spans="1:19" s="23" customFormat="1" ht="16.5" customHeight="1" x14ac:dyDescent="0.2">
      <c r="A408" s="363">
        <f>COUNTIF(L$1:L408,"!")</f>
        <v>30</v>
      </c>
      <c r="B408" s="364" t="str">
        <f>A408&amp;"."&amp;COUNTIF(A$3:A408,A408)-1</f>
        <v>30.1</v>
      </c>
      <c r="C408" s="100" t="s">
        <v>2931</v>
      </c>
      <c r="D408" s="41" t="s">
        <v>2932</v>
      </c>
      <c r="E408" s="101" t="s">
        <v>2821</v>
      </c>
      <c r="F408" s="100" t="s">
        <v>3261</v>
      </c>
      <c r="G408" s="100" t="str">
        <f>G407</f>
        <v>台</v>
      </c>
      <c r="H408" s="41">
        <v>1</v>
      </c>
      <c r="I408" s="117">
        <f t="shared" ref="I408:I409" si="177">IFERROR(ROUND(L408*M408/10000,4),"")</f>
        <v>3.9312</v>
      </c>
      <c r="J408" s="117">
        <f t="shared" ref="J408:J409" si="178">IFERROR(I408*H408,"")</f>
        <v>3.9312</v>
      </c>
      <c r="K408" s="52"/>
      <c r="L408" s="53">
        <f t="shared" ref="L408:L409" si="179">L$2</f>
        <v>1</v>
      </c>
      <c r="M408" s="69">
        <f t="shared" ref="M408:M409" si="180">IFERROR(O408*N408,"")</f>
        <v>39312</v>
      </c>
      <c r="N408" s="55">
        <v>1</v>
      </c>
      <c r="O408" s="337">
        <f>R408*S408</f>
        <v>39312</v>
      </c>
      <c r="P408" s="57" t="str">
        <f t="shared" ref="P408:P409" si="181">IF(_xlfn.ISFORMULA(O408),"","值")</f>
        <v/>
      </c>
      <c r="Q408" s="30" t="s">
        <v>2854</v>
      </c>
      <c r="R408" s="30">
        <v>4200</v>
      </c>
      <c r="S408" s="24">
        <f>(MID(D408,FIND(" ",D408)+1,FIND("*",D408)-FIND(" ",D408)-1)*MID(D408,FIND("*",D408)+1,FIND("*",MID(D408,FIND("*",D408)+1,30))-1))/1000000*IF(ROUND(RIGHT(D408,4),0)&gt;2650,1/2.65*2.95,1)</f>
        <v>9.36</v>
      </c>
    </row>
    <row r="409" spans="1:19" s="23" customFormat="1" ht="16.5" customHeight="1" x14ac:dyDescent="0.2">
      <c r="A409" s="363">
        <f>COUNTIF(L$1:L409,"!")</f>
        <v>30</v>
      </c>
      <c r="B409" s="364" t="str">
        <f>A409&amp;"."&amp;COUNTIF(A$3:A409,A409)-1</f>
        <v>30.2</v>
      </c>
      <c r="C409" s="100" t="s">
        <v>51</v>
      </c>
      <c r="D409" s="41"/>
      <c r="E409" s="101"/>
      <c r="F409" s="101"/>
      <c r="G409" s="41" t="s">
        <v>2812</v>
      </c>
      <c r="H409" s="41">
        <v>1</v>
      </c>
      <c r="I409" s="117">
        <f t="shared" si="177"/>
        <v>0.23</v>
      </c>
      <c r="J409" s="117">
        <f t="shared" si="178"/>
        <v>0.23</v>
      </c>
      <c r="K409" s="52"/>
      <c r="L409" s="53">
        <f t="shared" si="179"/>
        <v>1</v>
      </c>
      <c r="M409" s="69">
        <f t="shared" si="180"/>
        <v>2300</v>
      </c>
      <c r="N409" s="55">
        <v>1</v>
      </c>
      <c r="O409" s="56">
        <v>2300</v>
      </c>
      <c r="P409" s="57" t="str">
        <f t="shared" si="181"/>
        <v>值</v>
      </c>
    </row>
    <row r="410" spans="1:19" s="23" customFormat="1" ht="27" customHeight="1" x14ac:dyDescent="0.2">
      <c r="A410" s="363">
        <f>COUNTIF(L$1:L410,"!")</f>
        <v>30</v>
      </c>
      <c r="B410" s="364" t="str">
        <f>A410&amp;"."&amp;COUNTIF(A$3:A410,A410)-1</f>
        <v>30.3</v>
      </c>
      <c r="C410" s="103" t="s">
        <v>53</v>
      </c>
      <c r="D410" s="104"/>
      <c r="E410" s="365"/>
      <c r="F410" s="101"/>
      <c r="G410" s="104"/>
      <c r="H410" s="104" t="s">
        <v>1</v>
      </c>
      <c r="I410" s="118" t="s">
        <v>52</v>
      </c>
      <c r="J410" s="366"/>
      <c r="K410" s="104"/>
      <c r="L410" s="53"/>
      <c r="M410" s="119"/>
      <c r="N410" s="70"/>
      <c r="O410" s="337"/>
    </row>
    <row r="411" spans="1:19" s="30" customFormat="1" ht="27" customHeight="1" x14ac:dyDescent="0.2">
      <c r="A411" s="363">
        <f>COUNTIF(L$1:L411,"!")</f>
        <v>30</v>
      </c>
      <c r="B411" s="364" t="str">
        <f>A411&amp;"."&amp;COUNTIF(A$3:A411,A411)-1</f>
        <v>30.4</v>
      </c>
      <c r="C411" s="103" t="s">
        <v>54</v>
      </c>
      <c r="D411" s="104"/>
      <c r="E411" s="365"/>
      <c r="F411" s="101"/>
      <c r="G411" s="104"/>
      <c r="H411" s="104"/>
      <c r="I411" s="118" t="s">
        <v>1</v>
      </c>
      <c r="J411" s="120">
        <f>SUM(J408:J410)</f>
        <v>4.1612</v>
      </c>
      <c r="K411" s="104"/>
      <c r="L411" s="53"/>
      <c r="M411" s="119"/>
      <c r="N411" s="70"/>
      <c r="O411" s="337"/>
      <c r="Q411" s="90"/>
    </row>
    <row r="412" spans="1:19" s="30" customFormat="1" ht="16.5" customHeight="1" x14ac:dyDescent="0.2">
      <c r="A412" s="83" t="s">
        <v>2986</v>
      </c>
      <c r="B412" s="94" t="s">
        <v>8</v>
      </c>
      <c r="C412" s="94" t="s">
        <v>9</v>
      </c>
      <c r="D412" s="95" t="s">
        <v>10</v>
      </c>
      <c r="E412" s="95" t="s">
        <v>11</v>
      </c>
      <c r="F412" s="96" t="s">
        <v>12</v>
      </c>
      <c r="G412" s="94" t="s">
        <v>13</v>
      </c>
      <c r="H412" s="94" t="s">
        <v>14</v>
      </c>
      <c r="I412" s="110" t="s">
        <v>15</v>
      </c>
      <c r="J412" s="111" t="s">
        <v>16</v>
      </c>
      <c r="K412" s="112" t="s">
        <v>17</v>
      </c>
      <c r="L412" s="113" t="s">
        <v>18</v>
      </c>
      <c r="M412" s="114" t="s">
        <v>19</v>
      </c>
      <c r="N412" s="114" t="s">
        <v>20</v>
      </c>
      <c r="O412" s="114" t="s">
        <v>21</v>
      </c>
      <c r="P412" s="349"/>
      <c r="Q412" s="90"/>
    </row>
    <row r="413" spans="1:19" ht="16.5" customHeight="1" x14ac:dyDescent="0.2">
      <c r="A413" s="83" t="s">
        <v>2768</v>
      </c>
      <c r="B413" s="350">
        <f>COUNTIF(L$1:L413,"#")</f>
        <v>5</v>
      </c>
      <c r="C413" s="351" t="s">
        <v>2987</v>
      </c>
      <c r="D413" s="352" t="s">
        <v>2988</v>
      </c>
      <c r="E413" s="353" t="s">
        <v>22</v>
      </c>
      <c r="F413" s="353" t="s">
        <v>3261</v>
      </c>
      <c r="G413" s="353" t="s">
        <v>23</v>
      </c>
      <c r="H413" s="353">
        <v>1</v>
      </c>
      <c r="I413" s="354">
        <f>SUMIF(Q414:Q829,B413,J414:J829)</f>
        <v>16.321379999999998</v>
      </c>
      <c r="J413" s="355">
        <f>IFERROR(I413*H413,"")</f>
        <v>16.321379999999998</v>
      </c>
      <c r="K413" s="356" t="s">
        <v>2989</v>
      </c>
      <c r="L413" s="357" t="s">
        <v>2772</v>
      </c>
      <c r="M413" s="358"/>
      <c r="N413" s="358"/>
      <c r="O413" s="358"/>
      <c r="P413" s="359"/>
      <c r="Q413" s="360"/>
      <c r="R413" s="30"/>
    </row>
    <row r="414" spans="1:19" ht="16.5" customHeight="1" x14ac:dyDescent="0.15">
      <c r="A414" s="97">
        <f>COUNTIF(L$1:L414,"!")</f>
        <v>31</v>
      </c>
      <c r="B414" s="32" t="str">
        <f>COUNTIF(L$2:L415,"!")&amp;"."</f>
        <v>31.</v>
      </c>
      <c r="C414" s="47" t="s">
        <v>2773</v>
      </c>
      <c r="D414" s="35" t="s">
        <v>2990</v>
      </c>
      <c r="E414" s="99" t="s">
        <v>22</v>
      </c>
      <c r="F414" s="99" t="s">
        <v>3261</v>
      </c>
      <c r="G414" s="34" t="s">
        <v>23</v>
      </c>
      <c r="H414" s="98">
        <v>1</v>
      </c>
      <c r="I414" s="115">
        <f>LOOKUP(0,0/((A414:A496=A414)*(C414:C496="合计金额（单位完整货物单价）")),J414:J496)</f>
        <v>2.7988999999999997</v>
      </c>
      <c r="J414" s="116">
        <f>IFERROR(I414*H414,"")</f>
        <v>2.7988999999999997</v>
      </c>
      <c r="K414" s="34"/>
      <c r="L414" s="48" t="s">
        <v>24</v>
      </c>
      <c r="M414" s="49"/>
      <c r="N414" s="50"/>
      <c r="O414" s="362"/>
      <c r="P414" s="23"/>
      <c r="Q414" s="360">
        <f>COUNTIF(L$3:L414,"#")</f>
        <v>5</v>
      </c>
      <c r="R414" s="23"/>
    </row>
    <row r="415" spans="1:19" ht="16.5" customHeight="1" x14ac:dyDescent="0.2">
      <c r="A415" s="363">
        <f>COUNTIF(L$1:L415,"!")</f>
        <v>31</v>
      </c>
      <c r="B415" s="364" t="str">
        <f>A415&amp;"."&amp;COUNTIF(A$3:A415,A415)-1</f>
        <v>31.1</v>
      </c>
      <c r="C415" s="100" t="s">
        <v>2775</v>
      </c>
      <c r="D415" s="41" t="s">
        <v>2862</v>
      </c>
      <c r="E415" s="101" t="s">
        <v>22</v>
      </c>
      <c r="F415" s="101" t="s">
        <v>2991</v>
      </c>
      <c r="G415" s="41" t="s">
        <v>23</v>
      </c>
      <c r="H415" s="41">
        <v>2</v>
      </c>
      <c r="I415" s="117">
        <f>IFERROR(ROUND(L415*M415/10000,4),"")</f>
        <v>0.54379999999999995</v>
      </c>
      <c r="J415" s="117">
        <f t="shared" ref="J415:J425" si="182">IFERROR(I415*H415,"")</f>
        <v>1.0875999999999999</v>
      </c>
      <c r="K415" s="52"/>
      <c r="L415" s="53">
        <f t="shared" ref="L415:L425" si="183">L$2</f>
        <v>1</v>
      </c>
      <c r="M415" s="69">
        <f t="shared" ref="M415:M425" si="184">IFERROR(O415*N415,"")</f>
        <v>5438</v>
      </c>
      <c r="N415" s="55">
        <v>1</v>
      </c>
      <c r="O415" s="337">
        <v>5438</v>
      </c>
      <c r="P415" s="57" t="str">
        <f t="shared" ref="P415:P425" si="185">IF(_xlfn.ISFORMULA(O415),"","值")</f>
        <v>值</v>
      </c>
      <c r="Q415" s="90"/>
      <c r="R415" s="23"/>
    </row>
    <row r="416" spans="1:19" ht="16.5" customHeight="1" x14ac:dyDescent="0.2">
      <c r="A416" s="363">
        <f>COUNTIF(L$1:L416,"!")</f>
        <v>31</v>
      </c>
      <c r="B416" s="364" t="str">
        <f>A416&amp;"."&amp;COUNTIF(A$3:A416,A416)-1</f>
        <v>31.2</v>
      </c>
      <c r="C416" s="100" t="s">
        <v>2775</v>
      </c>
      <c r="D416" s="41" t="s">
        <v>2864</v>
      </c>
      <c r="E416" s="101" t="s">
        <v>22</v>
      </c>
      <c r="F416" s="101" t="s">
        <v>2991</v>
      </c>
      <c r="G416" s="41" t="s">
        <v>23</v>
      </c>
      <c r="H416" s="41">
        <v>1</v>
      </c>
      <c r="I416" s="117">
        <f t="shared" ref="I416:I425" si="186">IFERROR(ROUND(L416*M416/10000,4),"")</f>
        <v>0.82499999999999996</v>
      </c>
      <c r="J416" s="117">
        <f t="shared" si="182"/>
        <v>0.82499999999999996</v>
      </c>
      <c r="K416" s="52"/>
      <c r="L416" s="53">
        <f t="shared" si="183"/>
        <v>1</v>
      </c>
      <c r="M416" s="69">
        <f t="shared" si="184"/>
        <v>8250</v>
      </c>
      <c r="N416" s="55">
        <v>1</v>
      </c>
      <c r="O416" s="337">
        <v>8250</v>
      </c>
      <c r="P416" s="57" t="str">
        <f t="shared" si="185"/>
        <v>值</v>
      </c>
      <c r="Q416" s="90"/>
      <c r="R416" s="23"/>
    </row>
    <row r="417" spans="1:18" ht="16.5" customHeight="1" x14ac:dyDescent="0.2">
      <c r="A417" s="363">
        <f>COUNTIF(L$1:L417,"!")</f>
        <v>31</v>
      </c>
      <c r="B417" s="364" t="str">
        <f>A417&amp;"."&amp;COUNTIF(A$3:A417,A417)-1</f>
        <v>31.3</v>
      </c>
      <c r="C417" s="100" t="s">
        <v>61</v>
      </c>
      <c r="D417" s="41" t="s">
        <v>2781</v>
      </c>
      <c r="E417" s="101" t="s">
        <v>2992</v>
      </c>
      <c r="F417" s="101" t="s">
        <v>2993</v>
      </c>
      <c r="G417" s="41" t="s">
        <v>29</v>
      </c>
      <c r="H417" s="41">
        <v>9</v>
      </c>
      <c r="I417" s="117">
        <f t="shared" si="186"/>
        <v>0.03</v>
      </c>
      <c r="J417" s="117">
        <f t="shared" si="182"/>
        <v>0.27</v>
      </c>
      <c r="K417" s="52"/>
      <c r="L417" s="53">
        <f t="shared" si="183"/>
        <v>1</v>
      </c>
      <c r="M417" s="69">
        <f t="shared" si="184"/>
        <v>300</v>
      </c>
      <c r="N417" s="55">
        <v>1</v>
      </c>
      <c r="O417" s="337">
        <v>300</v>
      </c>
      <c r="P417" s="57" t="str">
        <f t="shared" si="185"/>
        <v>值</v>
      </c>
      <c r="Q417" s="23"/>
      <c r="R417" s="23"/>
    </row>
    <row r="418" spans="1:18" ht="16.5" customHeight="1" x14ac:dyDescent="0.2">
      <c r="A418" s="363">
        <f>COUNTIF(L$1:L418,"!")</f>
        <v>31</v>
      </c>
      <c r="B418" s="364" t="str">
        <f>A418&amp;"."&amp;COUNTIF(A$3:A418,A418)-1</f>
        <v>31.4</v>
      </c>
      <c r="C418" s="100" t="s">
        <v>160</v>
      </c>
      <c r="D418" s="41" t="s">
        <v>161</v>
      </c>
      <c r="E418" s="101" t="s">
        <v>2994</v>
      </c>
      <c r="F418" s="101" t="s">
        <v>2995</v>
      </c>
      <c r="G418" s="41" t="s">
        <v>48</v>
      </c>
      <c r="H418" s="41">
        <v>3</v>
      </c>
      <c r="I418" s="117">
        <f t="shared" si="186"/>
        <v>1.4999999999999999E-2</v>
      </c>
      <c r="J418" s="117">
        <f t="shared" si="182"/>
        <v>4.4999999999999998E-2</v>
      </c>
      <c r="K418" s="52"/>
      <c r="L418" s="53">
        <f t="shared" si="183"/>
        <v>1</v>
      </c>
      <c r="M418" s="69">
        <f t="shared" si="184"/>
        <v>150</v>
      </c>
      <c r="N418" s="55">
        <v>1</v>
      </c>
      <c r="O418" s="337">
        <v>150</v>
      </c>
      <c r="P418" s="57" t="str">
        <f t="shared" si="185"/>
        <v>值</v>
      </c>
      <c r="Q418" s="23"/>
      <c r="R418" s="23"/>
    </row>
    <row r="419" spans="1:18" ht="16.5" customHeight="1" x14ac:dyDescent="0.2">
      <c r="A419" s="363">
        <f>COUNTIF(L$1:L419,"!")</f>
        <v>31</v>
      </c>
      <c r="B419" s="364" t="str">
        <f>A419&amp;"."&amp;COUNTIF(A$3:A419,A419)-1</f>
        <v>31.5</v>
      </c>
      <c r="C419" s="100" t="s">
        <v>2787</v>
      </c>
      <c r="D419" s="41" t="s">
        <v>2788</v>
      </c>
      <c r="E419" s="101" t="s">
        <v>2994</v>
      </c>
      <c r="F419" s="101" t="s">
        <v>2996</v>
      </c>
      <c r="G419" s="41" t="s">
        <v>134</v>
      </c>
      <c r="H419" s="41">
        <v>3</v>
      </c>
      <c r="I419" s="117">
        <f t="shared" si="186"/>
        <v>0.05</v>
      </c>
      <c r="J419" s="117">
        <f t="shared" si="182"/>
        <v>0.15000000000000002</v>
      </c>
      <c r="K419" s="52"/>
      <c r="L419" s="53">
        <f t="shared" si="183"/>
        <v>1</v>
      </c>
      <c r="M419" s="69">
        <f t="shared" si="184"/>
        <v>500</v>
      </c>
      <c r="N419" s="55">
        <v>1</v>
      </c>
      <c r="O419" s="337">
        <v>500</v>
      </c>
      <c r="P419" s="57" t="str">
        <f t="shared" si="185"/>
        <v>值</v>
      </c>
      <c r="Q419" s="23"/>
      <c r="R419" s="23"/>
    </row>
    <row r="420" spans="1:18" ht="16.5" customHeight="1" x14ac:dyDescent="0.2">
      <c r="A420" s="363">
        <f>COUNTIF(L$1:L420,"!")</f>
        <v>31</v>
      </c>
      <c r="B420" s="364" t="str">
        <f>A420&amp;"."&amp;COUNTIF(A$3:A420,A420)-1</f>
        <v>31.6</v>
      </c>
      <c r="C420" s="100" t="s">
        <v>162</v>
      </c>
      <c r="D420" s="41" t="s">
        <v>2791</v>
      </c>
      <c r="E420" s="101" t="s">
        <v>2994</v>
      </c>
      <c r="F420" s="101" t="s">
        <v>2996</v>
      </c>
      <c r="G420" s="41" t="s">
        <v>134</v>
      </c>
      <c r="H420" s="41">
        <v>3</v>
      </c>
      <c r="I420" s="117">
        <f t="shared" si="186"/>
        <v>7.7499999999999999E-2</v>
      </c>
      <c r="J420" s="117">
        <f t="shared" si="182"/>
        <v>0.23249999999999998</v>
      </c>
      <c r="K420" s="52"/>
      <c r="L420" s="53">
        <f t="shared" si="183"/>
        <v>1</v>
      </c>
      <c r="M420" s="69">
        <f t="shared" si="184"/>
        <v>775</v>
      </c>
      <c r="N420" s="55">
        <v>1</v>
      </c>
      <c r="O420" s="337">
        <v>775</v>
      </c>
      <c r="P420" s="57" t="str">
        <f t="shared" si="185"/>
        <v>值</v>
      </c>
      <c r="Q420" s="23"/>
      <c r="R420" s="23"/>
    </row>
    <row r="421" spans="1:18" ht="16.5" customHeight="1" x14ac:dyDescent="0.2">
      <c r="A421" s="363">
        <f>COUNTIF(L$1:L421,"!")</f>
        <v>31</v>
      </c>
      <c r="B421" s="364" t="str">
        <f>A421&amp;"."&amp;COUNTIF(A$3:A421,A421)-1</f>
        <v>31.7</v>
      </c>
      <c r="C421" s="100" t="s">
        <v>2793</v>
      </c>
      <c r="D421" s="102" t="s">
        <v>2794</v>
      </c>
      <c r="E421" s="101" t="s">
        <v>2994</v>
      </c>
      <c r="F421" s="101" t="s">
        <v>2996</v>
      </c>
      <c r="G421" s="41" t="s">
        <v>134</v>
      </c>
      <c r="H421" s="41">
        <v>3</v>
      </c>
      <c r="I421" s="117">
        <f t="shared" si="186"/>
        <v>2.5000000000000001E-2</v>
      </c>
      <c r="J421" s="117">
        <f t="shared" si="182"/>
        <v>7.5000000000000011E-2</v>
      </c>
      <c r="K421" s="52"/>
      <c r="L421" s="53">
        <f t="shared" si="183"/>
        <v>1</v>
      </c>
      <c r="M421" s="69">
        <f t="shared" si="184"/>
        <v>250</v>
      </c>
      <c r="N421" s="55">
        <v>1</v>
      </c>
      <c r="O421" s="337">
        <v>250</v>
      </c>
      <c r="P421" s="57" t="str">
        <f t="shared" si="185"/>
        <v>值</v>
      </c>
      <c r="Q421" s="23"/>
      <c r="R421" s="23"/>
    </row>
    <row r="422" spans="1:18" ht="16.5" customHeight="1" x14ac:dyDescent="0.2">
      <c r="A422" s="363">
        <f>COUNTIF(L$1:L422,"!")</f>
        <v>31</v>
      </c>
      <c r="B422" s="364" t="str">
        <f>A422&amp;"."&amp;COUNTIF(A$3:A422,A422)-1</f>
        <v>31.8</v>
      </c>
      <c r="C422" s="100" t="s">
        <v>2802</v>
      </c>
      <c r="D422" s="41" t="s">
        <v>2803</v>
      </c>
      <c r="E422" s="101" t="s">
        <v>2994</v>
      </c>
      <c r="F422" s="101" t="s">
        <v>2869</v>
      </c>
      <c r="G422" s="41" t="s">
        <v>48</v>
      </c>
      <c r="H422" s="41">
        <v>3</v>
      </c>
      <c r="I422" s="117">
        <f t="shared" si="186"/>
        <v>1.2500000000000001E-2</v>
      </c>
      <c r="J422" s="117">
        <f t="shared" si="182"/>
        <v>3.7500000000000006E-2</v>
      </c>
      <c r="K422" s="52"/>
      <c r="L422" s="53">
        <f t="shared" si="183"/>
        <v>1</v>
      </c>
      <c r="M422" s="69">
        <f t="shared" si="184"/>
        <v>125</v>
      </c>
      <c r="N422" s="55">
        <v>1</v>
      </c>
      <c r="O422" s="337">
        <v>125</v>
      </c>
      <c r="P422" s="57" t="str">
        <f t="shared" si="185"/>
        <v>值</v>
      </c>
      <c r="Q422" s="23"/>
      <c r="R422" s="23"/>
    </row>
    <row r="423" spans="1:18" ht="16.5" customHeight="1" x14ac:dyDescent="0.2">
      <c r="A423" s="363">
        <f>COUNTIF(L$1:L423,"!")</f>
        <v>31</v>
      </c>
      <c r="B423" s="364" t="str">
        <f>A423&amp;"."&amp;COUNTIF(A$3:A423,A423)-1</f>
        <v>31.9</v>
      </c>
      <c r="C423" s="100" t="s">
        <v>2799</v>
      </c>
      <c r="D423" s="41"/>
      <c r="E423" s="101" t="s">
        <v>2997</v>
      </c>
      <c r="F423" s="101" t="s">
        <v>2870</v>
      </c>
      <c r="G423" s="41" t="s">
        <v>29</v>
      </c>
      <c r="H423" s="41">
        <v>1</v>
      </c>
      <c r="I423" s="117">
        <f t="shared" si="186"/>
        <v>0.06</v>
      </c>
      <c r="J423" s="117">
        <f t="shared" si="182"/>
        <v>0.06</v>
      </c>
      <c r="K423" s="52"/>
      <c r="L423" s="53">
        <f t="shared" si="183"/>
        <v>1</v>
      </c>
      <c r="M423" s="69">
        <f t="shared" si="184"/>
        <v>600</v>
      </c>
      <c r="N423" s="55">
        <v>1</v>
      </c>
      <c r="O423" s="337">
        <v>600</v>
      </c>
      <c r="P423" s="57" t="str">
        <f t="shared" si="185"/>
        <v>值</v>
      </c>
      <c r="Q423" s="23"/>
      <c r="R423" s="23"/>
    </row>
    <row r="424" spans="1:18" ht="16.5" customHeight="1" x14ac:dyDescent="0.2">
      <c r="A424" s="363">
        <f>COUNTIF(L$1:L424,"!")</f>
        <v>31</v>
      </c>
      <c r="B424" s="364" t="str">
        <f>A424&amp;"."&amp;COUNTIF(A$3:A424,A424)-1</f>
        <v>31.10</v>
      </c>
      <c r="C424" s="100" t="s">
        <v>97</v>
      </c>
      <c r="D424" s="102"/>
      <c r="E424" s="101" t="s">
        <v>2994</v>
      </c>
      <c r="F424" s="101" t="s">
        <v>2869</v>
      </c>
      <c r="G424" s="41" t="s">
        <v>2806</v>
      </c>
      <c r="H424" s="41">
        <v>1</v>
      </c>
      <c r="I424" s="117">
        <f t="shared" si="186"/>
        <v>6.3E-3</v>
      </c>
      <c r="J424" s="117">
        <f t="shared" si="182"/>
        <v>6.3E-3</v>
      </c>
      <c r="K424" s="52"/>
      <c r="L424" s="53">
        <f t="shared" si="183"/>
        <v>1</v>
      </c>
      <c r="M424" s="69">
        <f t="shared" si="184"/>
        <v>63</v>
      </c>
      <c r="N424" s="55">
        <v>1</v>
      </c>
      <c r="O424" s="337">
        <v>63</v>
      </c>
      <c r="P424" s="57" t="str">
        <f t="shared" si="185"/>
        <v>值</v>
      </c>
      <c r="Q424" s="23"/>
      <c r="R424" s="23"/>
    </row>
    <row r="425" spans="1:18" ht="16.5" customHeight="1" x14ac:dyDescent="0.2">
      <c r="A425" s="363">
        <f>COUNTIF(L$1:L425,"!")</f>
        <v>31</v>
      </c>
      <c r="B425" s="364" t="str">
        <f>A425&amp;"."&amp;COUNTIF(A$3:A425,A425)-1</f>
        <v>31.11</v>
      </c>
      <c r="C425" s="100" t="s">
        <v>51</v>
      </c>
      <c r="D425" s="41"/>
      <c r="E425" s="101"/>
      <c r="F425" s="101"/>
      <c r="G425" s="41" t="s">
        <v>2812</v>
      </c>
      <c r="H425" s="41">
        <v>1</v>
      </c>
      <c r="I425" s="117">
        <f t="shared" si="186"/>
        <v>0.01</v>
      </c>
      <c r="J425" s="117">
        <f t="shared" si="182"/>
        <v>0.01</v>
      </c>
      <c r="K425" s="52"/>
      <c r="L425" s="53">
        <f t="shared" si="183"/>
        <v>1</v>
      </c>
      <c r="M425" s="69">
        <f t="shared" si="184"/>
        <v>100</v>
      </c>
      <c r="N425" s="55">
        <v>1</v>
      </c>
      <c r="O425" s="337">
        <v>100</v>
      </c>
      <c r="P425" s="57" t="str">
        <f t="shared" si="185"/>
        <v>值</v>
      </c>
      <c r="Q425" s="23"/>
      <c r="R425" s="23"/>
    </row>
    <row r="426" spans="1:18" ht="27" customHeight="1" x14ac:dyDescent="0.2">
      <c r="A426" s="363">
        <f>COUNTIF(L$1:L426,"!")</f>
        <v>31</v>
      </c>
      <c r="B426" s="364" t="str">
        <f>A426&amp;"."&amp;COUNTIF(A$3:A426,A426)-1</f>
        <v>31.12</v>
      </c>
      <c r="C426" s="103" t="s">
        <v>53</v>
      </c>
      <c r="D426" s="104"/>
      <c r="E426" s="365"/>
      <c r="F426" s="101"/>
      <c r="G426" s="104"/>
      <c r="H426" s="104" t="s">
        <v>1</v>
      </c>
      <c r="I426" s="118" t="s">
        <v>52</v>
      </c>
      <c r="J426" s="366"/>
      <c r="K426" s="104"/>
      <c r="L426" s="53"/>
      <c r="M426" s="119"/>
      <c r="N426" s="70"/>
      <c r="O426" s="337"/>
      <c r="P426" s="23"/>
      <c r="Q426" s="23"/>
      <c r="R426" s="23"/>
    </row>
    <row r="427" spans="1:18" ht="27" customHeight="1" x14ac:dyDescent="0.2">
      <c r="A427" s="363">
        <f>COUNTIF(L$1:L427,"!")</f>
        <v>31</v>
      </c>
      <c r="B427" s="364" t="str">
        <f>A427&amp;"."&amp;COUNTIF(A$3:A427,A427)-1</f>
        <v>31.13</v>
      </c>
      <c r="C427" s="103" t="s">
        <v>54</v>
      </c>
      <c r="D427" s="104"/>
      <c r="E427" s="365"/>
      <c r="F427" s="101"/>
      <c r="G427" s="104"/>
      <c r="H427" s="104"/>
      <c r="I427" s="118" t="s">
        <v>1</v>
      </c>
      <c r="J427" s="120">
        <f>SUM(J415:J426)</f>
        <v>2.7988999999999997</v>
      </c>
      <c r="K427" s="104"/>
      <c r="L427" s="53"/>
      <c r="M427" s="119"/>
      <c r="N427" s="70"/>
      <c r="O427" s="337"/>
      <c r="P427" s="30"/>
      <c r="Q427" s="90"/>
      <c r="R427" s="30"/>
    </row>
    <row r="428" spans="1:18" ht="16.5" customHeight="1" x14ac:dyDescent="0.15">
      <c r="A428" s="97">
        <f>COUNTIF(L$1:L428,"!")</f>
        <v>32</v>
      </c>
      <c r="B428" s="32" t="str">
        <f>COUNTIF(L$2:L429,"!")&amp;"."</f>
        <v>32.</v>
      </c>
      <c r="C428" s="47" t="str">
        <f>C429</f>
        <v>变压器</v>
      </c>
      <c r="D428" s="35" t="str">
        <f>D429</f>
        <v>SBH15-M-630KVA 全铜</v>
      </c>
      <c r="E428" s="99" t="str">
        <f>E429</f>
        <v>浙江</v>
      </c>
      <c r="F428" s="99" t="str">
        <f>F429</f>
        <v>弘乐电气有限公司</v>
      </c>
      <c r="G428" s="34" t="s">
        <v>23</v>
      </c>
      <c r="H428" s="98">
        <v>1</v>
      </c>
      <c r="I428" s="115">
        <f>LOOKUP(0,0/((A428:A508=A428)*(C428:C508="合计金额（单位完整货物单价）")),J428:J508)</f>
        <v>6.0350000000000001</v>
      </c>
      <c r="J428" s="116">
        <f>IFERROR(I428*H428,"")</f>
        <v>6.0350000000000001</v>
      </c>
      <c r="K428" s="34"/>
      <c r="L428" s="48" t="s">
        <v>24</v>
      </c>
      <c r="M428" s="49"/>
      <c r="N428" s="50"/>
      <c r="O428" s="362"/>
      <c r="P428" s="23"/>
      <c r="Q428" s="360">
        <f>COUNTIF(L$3:L428,"#")</f>
        <v>5</v>
      </c>
      <c r="R428" s="23"/>
    </row>
    <row r="429" spans="1:18" ht="16.5" customHeight="1" x14ac:dyDescent="0.2">
      <c r="A429" s="363">
        <f>COUNTIF(L$1:L429,"!")</f>
        <v>32</v>
      </c>
      <c r="B429" s="364" t="str">
        <f>A429&amp;"."&amp;COUNTIF(A$3:A429,A429)-1</f>
        <v>32.1</v>
      </c>
      <c r="C429" s="100" t="str">
        <f>IFERROR(VLOOKUP(D429,元件库!$B:$O,3,FALSE),"")</f>
        <v>变压器</v>
      </c>
      <c r="D429" s="41" t="s">
        <v>2998</v>
      </c>
      <c r="E429" s="101" t="s">
        <v>22</v>
      </c>
      <c r="F429" s="101" t="s">
        <v>2814</v>
      </c>
      <c r="G429" s="41" t="s">
        <v>23</v>
      </c>
      <c r="H429" s="41">
        <v>1</v>
      </c>
      <c r="I429" s="117">
        <f>IFERROR(ROUND(L429*M429/10000,4),"")</f>
        <v>5.96</v>
      </c>
      <c r="J429" s="117">
        <f t="shared" ref="J429:J430" si="187">IFERROR(I429*H429,"")</f>
        <v>5.96</v>
      </c>
      <c r="K429" s="52"/>
      <c r="L429" s="53">
        <f t="shared" ref="L429:L430" si="188">L$2</f>
        <v>1</v>
      </c>
      <c r="M429" s="69">
        <f t="shared" ref="M429:M430" si="189">IFERROR(O429*N429,"")</f>
        <v>59600</v>
      </c>
      <c r="N429" s="55">
        <f>IFERROR(VLOOKUP(D429,元件库!$B:$O,10,FALSE),"1.00")</f>
        <v>1</v>
      </c>
      <c r="O429" s="337">
        <f>IFERROR(VLOOKUP(D429,元件库!$B:$O,11,FALSE),"")</f>
        <v>59600</v>
      </c>
      <c r="P429" s="57" t="str">
        <f t="shared" ref="P429:P430" si="190">IF(_xlfn.ISFORMULA(O429),"","值")</f>
        <v/>
      </c>
      <c r="Q429" s="90"/>
      <c r="R429" s="23"/>
    </row>
    <row r="430" spans="1:18" ht="16.5" customHeight="1" x14ac:dyDescent="0.2">
      <c r="A430" s="363">
        <f>COUNTIF(L$1:L430,"!")</f>
        <v>32</v>
      </c>
      <c r="B430" s="364" t="str">
        <f>A430&amp;"."&amp;COUNTIF(A$3:A430,A430)-1</f>
        <v>32.2</v>
      </c>
      <c r="C430" s="100" t="s">
        <v>51</v>
      </c>
      <c r="D430" s="41"/>
      <c r="E430" s="101"/>
      <c r="F430" s="101"/>
      <c r="G430" s="41" t="s">
        <v>2812</v>
      </c>
      <c r="H430" s="41">
        <v>1</v>
      </c>
      <c r="I430" s="117">
        <f t="shared" ref="I430" si="191">IFERROR(ROUND(L430*M430/10000,4),"")</f>
        <v>7.4999999999999997E-2</v>
      </c>
      <c r="J430" s="117">
        <f t="shared" si="187"/>
        <v>7.4999999999999997E-2</v>
      </c>
      <c r="K430" s="52"/>
      <c r="L430" s="53">
        <f t="shared" si="188"/>
        <v>1</v>
      </c>
      <c r="M430" s="69">
        <f t="shared" si="189"/>
        <v>750</v>
      </c>
      <c r="N430" s="55">
        <v>1</v>
      </c>
      <c r="O430" s="337">
        <v>750</v>
      </c>
      <c r="P430" s="57" t="str">
        <f t="shared" si="190"/>
        <v>值</v>
      </c>
      <c r="Q430" s="23"/>
      <c r="R430" s="23"/>
    </row>
    <row r="431" spans="1:18" ht="27" customHeight="1" x14ac:dyDescent="0.2">
      <c r="A431" s="363">
        <f>COUNTIF(L$1:L431,"!")</f>
        <v>32</v>
      </c>
      <c r="B431" s="364" t="str">
        <f>A431&amp;"."&amp;COUNTIF(A$3:A431,A431)-1</f>
        <v>32.3</v>
      </c>
      <c r="C431" s="103" t="s">
        <v>53</v>
      </c>
      <c r="D431" s="104"/>
      <c r="E431" s="365"/>
      <c r="F431" s="101"/>
      <c r="G431" s="104"/>
      <c r="H431" s="104" t="s">
        <v>1</v>
      </c>
      <c r="I431" s="118" t="s">
        <v>52</v>
      </c>
      <c r="J431" s="366"/>
      <c r="K431" s="104"/>
      <c r="L431" s="53"/>
      <c r="M431" s="119"/>
      <c r="N431" s="70"/>
      <c r="O431" s="337"/>
      <c r="P431" s="23"/>
      <c r="Q431" s="23"/>
      <c r="R431" s="23"/>
    </row>
    <row r="432" spans="1:18" ht="27" customHeight="1" x14ac:dyDescent="0.2">
      <c r="A432" s="363">
        <f>COUNTIF(L$1:L432,"!")</f>
        <v>32</v>
      </c>
      <c r="B432" s="364" t="str">
        <f>A432&amp;"."&amp;COUNTIF(A$3:A432,A432)-1</f>
        <v>32.4</v>
      </c>
      <c r="C432" s="103" t="s">
        <v>54</v>
      </c>
      <c r="D432" s="104"/>
      <c r="E432" s="365"/>
      <c r="F432" s="101"/>
      <c r="G432" s="104"/>
      <c r="H432" s="104"/>
      <c r="I432" s="118" t="s">
        <v>1</v>
      </c>
      <c r="J432" s="120">
        <f>SUM(J429:J431)</f>
        <v>6.0350000000000001</v>
      </c>
      <c r="K432" s="104"/>
      <c r="L432" s="53"/>
      <c r="M432" s="119"/>
      <c r="N432" s="70"/>
      <c r="O432" s="337"/>
      <c r="P432" s="30"/>
      <c r="Q432" s="90"/>
      <c r="R432" s="30"/>
    </row>
    <row r="433" spans="1:18" ht="16.5" customHeight="1" x14ac:dyDescent="0.15">
      <c r="A433" s="97">
        <f>COUNTIF(L$1:L433,"!")</f>
        <v>33</v>
      </c>
      <c r="B433" s="32" t="str">
        <f>COUNTIF(L$2:L434,"!")&amp;"."</f>
        <v>33.</v>
      </c>
      <c r="C433" s="47" t="s">
        <v>2815</v>
      </c>
      <c r="D433" s="35"/>
      <c r="E433" s="367" t="s">
        <v>37</v>
      </c>
      <c r="F433" s="367" t="s">
        <v>38</v>
      </c>
      <c r="G433" s="34" t="s">
        <v>23</v>
      </c>
      <c r="H433" s="98">
        <v>1</v>
      </c>
      <c r="I433" s="115">
        <f>LOOKUP(0,0/((A433:A513=A433)*(C433:C513="合计金额（单位完整货物单价）")),J433:J513)</f>
        <v>0.55599999999999994</v>
      </c>
      <c r="J433" s="116">
        <f>IFERROR(I433*H433,"")</f>
        <v>0.55599999999999994</v>
      </c>
      <c r="K433" s="34"/>
      <c r="L433" s="48" t="s">
        <v>24</v>
      </c>
      <c r="M433" s="49"/>
      <c r="N433" s="50"/>
      <c r="O433" s="362"/>
      <c r="P433" s="23"/>
      <c r="Q433" s="360">
        <f>COUNTIF(L$3:L433,"#")</f>
        <v>5</v>
      </c>
      <c r="R433" s="23"/>
    </row>
    <row r="434" spans="1:18" s="23" customFormat="1" ht="16.5" customHeight="1" x14ac:dyDescent="0.2">
      <c r="A434" s="363">
        <f>COUNTIF(L$1:L434,"!")</f>
        <v>33</v>
      </c>
      <c r="B434" s="364" t="str">
        <f>A434&amp;"."&amp;COUNTIF(A$3:A434,A434)-1</f>
        <v>33.1</v>
      </c>
      <c r="C434" s="100" t="str">
        <f>IFERROR(VLOOKUP(D434,元件库!$B:$O,3,FALSE),"")</f>
        <v>铜排</v>
      </c>
      <c r="D434" s="41" t="s">
        <v>2816</v>
      </c>
      <c r="E434" s="101" t="s">
        <v>2817</v>
      </c>
      <c r="F434" s="101" t="s">
        <v>2818</v>
      </c>
      <c r="G434" s="41" t="s">
        <v>39</v>
      </c>
      <c r="H434" s="41">
        <v>10</v>
      </c>
      <c r="I434" s="117">
        <f>IFERROR(ROUND(L434*M434/10000,4),"")</f>
        <v>4.0599999999999997E-2</v>
      </c>
      <c r="J434" s="117">
        <f>IFERROR(I434*H434,"")</f>
        <v>0.40599999999999997</v>
      </c>
      <c r="K434" s="52"/>
      <c r="L434" s="53">
        <f t="shared" ref="L434:L436" si="192">L$2</f>
        <v>1</v>
      </c>
      <c r="M434" s="69">
        <f>IFERROR(O434*N434,"")</f>
        <v>405.84</v>
      </c>
      <c r="N434" s="55">
        <f>IFERROR(VLOOKUP(D434,元件库!$B:$O,10,FALSE),"1.00")</f>
        <v>1</v>
      </c>
      <c r="O434" s="337">
        <f>IFERROR(VLOOKUP(D434,元件库!$B:$O,11,FALSE),"")</f>
        <v>405.84</v>
      </c>
      <c r="P434" s="57" t="str">
        <f>IF(_xlfn.ISFORMULA(O434),"","值")</f>
        <v/>
      </c>
    </row>
    <row r="435" spans="1:18" s="23" customFormat="1" ht="16.5" customHeight="1" x14ac:dyDescent="0.2">
      <c r="A435" s="363">
        <f>COUNTIF(L$1:L435,"!")</f>
        <v>33</v>
      </c>
      <c r="B435" s="364" t="str">
        <f>A435&amp;"."&amp;COUNTIF(A$3:A435,A435)-1</f>
        <v>33.2</v>
      </c>
      <c r="C435" s="100" t="s">
        <v>2819</v>
      </c>
      <c r="D435" s="41" t="s">
        <v>2820</v>
      </c>
      <c r="E435" s="101" t="s">
        <v>2821</v>
      </c>
      <c r="F435" s="101" t="s">
        <v>2822</v>
      </c>
      <c r="G435" s="41" t="s">
        <v>2823</v>
      </c>
      <c r="H435" s="41">
        <v>1</v>
      </c>
      <c r="I435" s="117">
        <f>IFERROR(ROUND(L435*M435/10000,4),"")</f>
        <v>0.15</v>
      </c>
      <c r="J435" s="117">
        <f>IFERROR(I435*H435,"")</f>
        <v>0.15</v>
      </c>
      <c r="K435" s="52"/>
      <c r="L435" s="53">
        <f t="shared" si="192"/>
        <v>1</v>
      </c>
      <c r="M435" s="69">
        <f>IFERROR(O435*N435,"")</f>
        <v>1500</v>
      </c>
      <c r="N435" s="55" t="str">
        <f>IFERROR(VLOOKUP(D435,元件库!$B:$O,10,FALSE),"1.00")</f>
        <v>1.00</v>
      </c>
      <c r="O435" s="337">
        <v>1500</v>
      </c>
      <c r="P435" s="57" t="str">
        <f>IF(_xlfn.ISFORMULA(O435),"","值")</f>
        <v>值</v>
      </c>
    </row>
    <row r="436" spans="1:18" ht="16.5" customHeight="1" x14ac:dyDescent="0.2">
      <c r="A436" s="363">
        <f>COUNTIF(L$1:L436,"!")</f>
        <v>33</v>
      </c>
      <c r="B436" s="364" t="str">
        <f>A436&amp;"."&amp;COUNTIF(A$3:A436,A436)-1</f>
        <v>33.3</v>
      </c>
      <c r="C436" s="100" t="s">
        <v>51</v>
      </c>
      <c r="D436" s="41"/>
      <c r="E436" s="101"/>
      <c r="F436" s="101"/>
      <c r="G436" s="41"/>
      <c r="H436" s="41"/>
      <c r="I436" s="118" t="s">
        <v>52</v>
      </c>
      <c r="J436" s="117" t="str">
        <f t="shared" ref="J436" si="193">IFERROR(I436*H436,"")</f>
        <v/>
      </c>
      <c r="K436" s="52"/>
      <c r="L436" s="53">
        <f t="shared" si="192"/>
        <v>1</v>
      </c>
      <c r="M436" s="69">
        <f t="shared" ref="M436" si="194">IFERROR(O436*N436,"")</f>
        <v>750</v>
      </c>
      <c r="N436" s="55">
        <v>1</v>
      </c>
      <c r="O436" s="337">
        <v>750</v>
      </c>
      <c r="P436" s="57" t="str">
        <f t="shared" ref="P436" si="195">IF(_xlfn.ISFORMULA(O436),"","值")</f>
        <v>值</v>
      </c>
      <c r="Q436" s="23"/>
      <c r="R436" s="23"/>
    </row>
    <row r="437" spans="1:18" ht="27" customHeight="1" x14ac:dyDescent="0.2">
      <c r="A437" s="363">
        <f>COUNTIF(L$1:L437,"!")</f>
        <v>33</v>
      </c>
      <c r="B437" s="364" t="str">
        <f>A437&amp;"."&amp;COUNTIF(A$3:A437,A437)-1</f>
        <v>33.4</v>
      </c>
      <c r="C437" s="103" t="s">
        <v>53</v>
      </c>
      <c r="D437" s="104"/>
      <c r="E437" s="365"/>
      <c r="F437" s="101"/>
      <c r="G437" s="104"/>
      <c r="H437" s="104" t="s">
        <v>1</v>
      </c>
      <c r="I437" s="118" t="s">
        <v>52</v>
      </c>
      <c r="J437" s="366"/>
      <c r="K437" s="104"/>
      <c r="L437" s="53"/>
      <c r="M437" s="119"/>
      <c r="N437" s="70"/>
      <c r="O437" s="337"/>
      <c r="P437" s="23"/>
      <c r="Q437" s="23"/>
      <c r="R437" s="23"/>
    </row>
    <row r="438" spans="1:18" ht="27" customHeight="1" x14ac:dyDescent="0.2">
      <c r="A438" s="363">
        <f>COUNTIF(L$1:L438,"!")</f>
        <v>33</v>
      </c>
      <c r="B438" s="364" t="str">
        <f>A438&amp;"."&amp;COUNTIF(A$3:A438,A438)-1</f>
        <v>33.5</v>
      </c>
      <c r="C438" s="103" t="s">
        <v>54</v>
      </c>
      <c r="D438" s="104"/>
      <c r="E438" s="365"/>
      <c r="F438" s="101"/>
      <c r="G438" s="104"/>
      <c r="H438" s="104"/>
      <c r="I438" s="118" t="s">
        <v>1</v>
      </c>
      <c r="J438" s="120">
        <f>SUM(J434:J437)</f>
        <v>0.55599999999999994</v>
      </c>
      <c r="K438" s="104"/>
      <c r="L438" s="53"/>
      <c r="M438" s="119"/>
      <c r="N438" s="70"/>
      <c r="O438" s="337"/>
      <c r="P438" s="30"/>
      <c r="Q438" s="90"/>
      <c r="R438" s="30"/>
    </row>
    <row r="439" spans="1:18" s="23" customFormat="1" ht="16.5" customHeight="1" x14ac:dyDescent="0.15">
      <c r="A439" s="97">
        <f>COUNTIF(L$1:L439,"!")</f>
        <v>34</v>
      </c>
      <c r="B439" s="32" t="str">
        <f>COUNTIF(L$2:L440,"!")&amp;"."</f>
        <v>34.</v>
      </c>
      <c r="C439" s="47" t="s">
        <v>2824</v>
      </c>
      <c r="D439" s="35" t="str">
        <f>D440</f>
        <v>GGD-800*600*2000</v>
      </c>
      <c r="E439" s="367" t="s">
        <v>22</v>
      </c>
      <c r="F439" s="367" t="s">
        <v>3261</v>
      </c>
      <c r="G439" s="34" t="s">
        <v>23</v>
      </c>
      <c r="H439" s="98">
        <v>1</v>
      </c>
      <c r="I439" s="115">
        <f>LOOKUP(0,0/((A439:A493=A439)*(C439:C493="合计金额（单位完整货物单价）")),J439:J493)</f>
        <v>1.5017600000000002</v>
      </c>
      <c r="J439" s="116">
        <f>IFERROR(I439*H439,"")</f>
        <v>1.5017600000000002</v>
      </c>
      <c r="K439" s="34"/>
      <c r="L439" s="48" t="s">
        <v>24</v>
      </c>
      <c r="M439" s="49"/>
      <c r="N439" s="50"/>
      <c r="O439" s="51"/>
      <c r="Q439" s="360">
        <f>COUNTIF(L$3:L439,"#")</f>
        <v>5</v>
      </c>
    </row>
    <row r="440" spans="1:18" s="23" customFormat="1" ht="16.5" customHeight="1" x14ac:dyDescent="0.2">
      <c r="A440" s="363">
        <f>COUNTIF(L$1:L440,"!")</f>
        <v>34</v>
      </c>
      <c r="B440" s="364" t="str">
        <f>A440&amp;"."&amp;COUNTIF(A$3:A440,A440)-1</f>
        <v>34.1</v>
      </c>
      <c r="C440" s="100" t="str">
        <f>IFERROR(VLOOKUP(D440,元件库!$B:$O,3,FALSE),"")</f>
        <v>壳体W*D*H</v>
      </c>
      <c r="D440" s="41" t="s">
        <v>181</v>
      </c>
      <c r="E440" s="101" t="s">
        <v>2821</v>
      </c>
      <c r="F440" s="101" t="s">
        <v>3261</v>
      </c>
      <c r="G440" s="41" t="s">
        <v>23</v>
      </c>
      <c r="H440" s="41">
        <v>1</v>
      </c>
      <c r="I440" s="117">
        <f>IFERROR(ROUND(L440*M440/10000,4),"")</f>
        <v>0.155</v>
      </c>
      <c r="J440" s="117">
        <f t="shared" ref="J440:J449" si="196">IFERROR(I440*H440,"")</f>
        <v>0.155</v>
      </c>
      <c r="K440" s="52"/>
      <c r="L440" s="53">
        <f t="shared" ref="L440:L457" si="197">L$2</f>
        <v>1</v>
      </c>
      <c r="M440" s="69">
        <f t="shared" ref="M440:M449" si="198">IFERROR(O440*N440,"")</f>
        <v>1550</v>
      </c>
      <c r="N440" s="55">
        <f>IFERROR(VLOOKUP(D440,元件库!$B:$O,10,FALSE),"1.00")</f>
        <v>1</v>
      </c>
      <c r="O440" s="337">
        <f>IFERROR(VLOOKUP(D440,元件库!$B:$O,11,FALSE),"")</f>
        <v>1550</v>
      </c>
      <c r="P440" s="57" t="str">
        <f t="shared" ref="P440:P449" si="199">IF(_xlfn.ISFORMULA(O440),"","值")</f>
        <v/>
      </c>
      <c r="Q440" s="90"/>
    </row>
    <row r="441" spans="1:18" s="23" customFormat="1" ht="16.5" customHeight="1" x14ac:dyDescent="0.2">
      <c r="A441" s="363">
        <f>COUNTIF(L$1:L441,"!")</f>
        <v>34</v>
      </c>
      <c r="B441" s="364" t="str">
        <f>A441&amp;"."&amp;COUNTIF(A$3:A441,A441)-1</f>
        <v>34.2</v>
      </c>
      <c r="C441" s="100" t="str">
        <f>IFERROR(VLOOKUP(D441,元件库!$B:$O,3,FALSE),"")</f>
        <v>封板</v>
      </c>
      <c r="D441" s="41" t="s">
        <v>2825</v>
      </c>
      <c r="E441" s="101" t="s">
        <v>2821</v>
      </c>
      <c r="F441" s="101" t="s">
        <v>3261</v>
      </c>
      <c r="G441" s="41" t="s">
        <v>23</v>
      </c>
      <c r="H441" s="41">
        <v>2</v>
      </c>
      <c r="I441" s="117">
        <f>IFERROR(ROUND(L441*M441/10000,4),"")</f>
        <v>1.7999999999999999E-2</v>
      </c>
      <c r="J441" s="117">
        <f t="shared" si="196"/>
        <v>3.5999999999999997E-2</v>
      </c>
      <c r="K441" s="52"/>
      <c r="L441" s="53">
        <f t="shared" si="197"/>
        <v>1</v>
      </c>
      <c r="M441" s="69">
        <f t="shared" si="198"/>
        <v>180</v>
      </c>
      <c r="N441" s="55">
        <f>IFERROR(VLOOKUP(D441,元件库!$B:$O,10,FALSE),"1.00")</f>
        <v>1</v>
      </c>
      <c r="O441" s="337">
        <f>IFERROR(VLOOKUP(D441,元件库!$B:$O,11,FALSE),"")</f>
        <v>180</v>
      </c>
      <c r="P441" s="57" t="str">
        <f t="shared" si="199"/>
        <v/>
      </c>
      <c r="Q441" s="90"/>
    </row>
    <row r="442" spans="1:18" s="23" customFormat="1" ht="16.5" customHeight="1" x14ac:dyDescent="0.2">
      <c r="A442" s="363">
        <f>COUNTIF(L$1:L442,"!")</f>
        <v>34</v>
      </c>
      <c r="B442" s="364" t="str">
        <f>A442&amp;"."&amp;COUNTIF(A$3:A442,A442)-1</f>
        <v>34.3</v>
      </c>
      <c r="C442" s="100" t="str">
        <f>IFERROR(VLOOKUP(D442,元件库!$B:$O,3,FALSE),"")</f>
        <v>刀开关</v>
      </c>
      <c r="D442" s="41" t="s">
        <v>2826</v>
      </c>
      <c r="E442" s="101" t="s">
        <v>2821</v>
      </c>
      <c r="F442" s="101" t="s">
        <v>32</v>
      </c>
      <c r="G442" s="41" t="s">
        <v>29</v>
      </c>
      <c r="H442" s="41">
        <v>1</v>
      </c>
      <c r="I442" s="117">
        <f t="shared" ref="I442:I449" si="200">IFERROR(ROUND(L442*M442/10000,4),"")</f>
        <v>9.2999999999999999E-2</v>
      </c>
      <c r="J442" s="117">
        <f t="shared" si="196"/>
        <v>9.2999999999999999E-2</v>
      </c>
      <c r="K442" s="52"/>
      <c r="L442" s="53">
        <f t="shared" si="197"/>
        <v>1</v>
      </c>
      <c r="M442" s="69">
        <f t="shared" si="198"/>
        <v>929.50000000000011</v>
      </c>
      <c r="N442" s="55">
        <f>IFERROR(VLOOKUP(D442,元件库!$B:$O,10,FALSE),"1.00")</f>
        <v>0.55000000000000004</v>
      </c>
      <c r="O442" s="337">
        <f>IFERROR(VLOOKUP(D442,元件库!$B:$O,11,FALSE),"")</f>
        <v>1690</v>
      </c>
      <c r="P442" s="57" t="str">
        <f t="shared" si="199"/>
        <v/>
      </c>
      <c r="Q442" s="90"/>
    </row>
    <row r="443" spans="1:18" s="23" customFormat="1" ht="16.5" customHeight="1" x14ac:dyDescent="0.2">
      <c r="A443" s="363">
        <f>COUNTIF(L$1:L443,"!")</f>
        <v>34</v>
      </c>
      <c r="B443" s="364" t="str">
        <f>A443&amp;"."&amp;COUNTIF(A$3:A443,A443)-1</f>
        <v>34.4</v>
      </c>
      <c r="C443" s="100" t="str">
        <f>IFERROR(VLOOKUP(D443,元件库!$B:$O,3,FALSE),"")</f>
        <v>框架断路器</v>
      </c>
      <c r="D443" s="41" t="s">
        <v>2827</v>
      </c>
      <c r="E443" s="101" t="s">
        <v>2821</v>
      </c>
      <c r="F443" s="101" t="s">
        <v>28</v>
      </c>
      <c r="G443" s="41" t="s">
        <v>29</v>
      </c>
      <c r="H443" s="41">
        <v>1</v>
      </c>
      <c r="I443" s="117">
        <f t="shared" si="200"/>
        <v>0.43049999999999999</v>
      </c>
      <c r="J443" s="117">
        <f t="shared" si="196"/>
        <v>0.43049999999999999</v>
      </c>
      <c r="K443" s="52"/>
      <c r="L443" s="53">
        <f t="shared" si="197"/>
        <v>1</v>
      </c>
      <c r="M443" s="69">
        <f t="shared" si="198"/>
        <v>4305</v>
      </c>
      <c r="N443" s="55">
        <f>IFERROR(VLOOKUP(D443,元件库!$B:$O,10,FALSE),"1.00")</f>
        <v>1</v>
      </c>
      <c r="O443" s="337">
        <f>IFERROR(VLOOKUP(D443,元件库!$B:$O,11,FALSE),"")</f>
        <v>4305</v>
      </c>
      <c r="P443" s="57" t="str">
        <f t="shared" si="199"/>
        <v/>
      </c>
      <c r="Q443" s="90"/>
    </row>
    <row r="444" spans="1:18" s="23" customFormat="1" ht="16.5" customHeight="1" x14ac:dyDescent="0.2">
      <c r="A444" s="363">
        <f>COUNTIF(L$1:L444,"!")</f>
        <v>34</v>
      </c>
      <c r="B444" s="364" t="str">
        <f>A444&amp;"."&amp;COUNTIF(A$3:A444,A444)-1</f>
        <v>34.5</v>
      </c>
      <c r="C444" s="100" t="str">
        <f>IFERROR(VLOOKUP(D444,元件库!$B:$O,3,FALSE),"")</f>
        <v/>
      </c>
      <c r="D444" s="41" t="s">
        <v>2829</v>
      </c>
      <c r="E444" s="101" t="s">
        <v>2821</v>
      </c>
      <c r="F444" s="101" t="s">
        <v>32</v>
      </c>
      <c r="G444" s="41" t="s">
        <v>29</v>
      </c>
      <c r="H444" s="41">
        <v>6</v>
      </c>
      <c r="I444" s="117" t="str">
        <f t="shared" si="200"/>
        <v/>
      </c>
      <c r="J444" s="117" t="str">
        <f t="shared" si="196"/>
        <v/>
      </c>
      <c r="K444" s="52"/>
      <c r="L444" s="53">
        <f t="shared" si="197"/>
        <v>1</v>
      </c>
      <c r="M444" s="69" t="str">
        <f t="shared" si="198"/>
        <v/>
      </c>
      <c r="N444" s="55" t="str">
        <f>IFERROR(VLOOKUP(D444,元件库!$B:$O,10,FALSE),"1.00")</f>
        <v>1.00</v>
      </c>
      <c r="O444" s="337" t="str">
        <f>IFERROR(VLOOKUP(D444,元件库!$B:$O,11,FALSE),"")</f>
        <v/>
      </c>
      <c r="P444" s="57" t="str">
        <f t="shared" si="199"/>
        <v/>
      </c>
    </row>
    <row r="445" spans="1:18" s="23" customFormat="1" ht="16.5" customHeight="1" x14ac:dyDescent="0.2">
      <c r="A445" s="363">
        <f>COUNTIF(L$1:L445,"!")</f>
        <v>34</v>
      </c>
      <c r="B445" s="364" t="str">
        <f>A445&amp;"."&amp;COUNTIF(A$3:A445,A445)-1</f>
        <v>34.6</v>
      </c>
      <c r="C445" s="100" t="str">
        <f>IFERROR(VLOOKUP(D445,元件库!$B:$O,3,FALSE),"")</f>
        <v>电流.电压表</v>
      </c>
      <c r="D445" s="41" t="s">
        <v>145</v>
      </c>
      <c r="E445" s="101" t="s">
        <v>2821</v>
      </c>
      <c r="F445" s="101" t="s">
        <v>32</v>
      </c>
      <c r="G445" s="41" t="s">
        <v>29</v>
      </c>
      <c r="H445" s="41">
        <v>3</v>
      </c>
      <c r="I445" s="117">
        <f t="shared" si="200"/>
        <v>1.4E-3</v>
      </c>
      <c r="J445" s="117">
        <f t="shared" si="196"/>
        <v>4.1999999999999997E-3</v>
      </c>
      <c r="K445" s="52"/>
      <c r="L445" s="53">
        <f t="shared" si="197"/>
        <v>1</v>
      </c>
      <c r="M445" s="69">
        <f t="shared" si="198"/>
        <v>13.750000000000002</v>
      </c>
      <c r="N445" s="55">
        <f>IFERROR(VLOOKUP(D445,元件库!$B:$O,10,FALSE),"1.00")</f>
        <v>0.55000000000000004</v>
      </c>
      <c r="O445" s="337">
        <f>IFERROR(VLOOKUP(D445,元件库!$B:$O,11,FALSE),"")</f>
        <v>25</v>
      </c>
      <c r="P445" s="57" t="str">
        <f t="shared" si="199"/>
        <v/>
      </c>
    </row>
    <row r="446" spans="1:18" s="23" customFormat="1" ht="16.5" customHeight="1" x14ac:dyDescent="0.2">
      <c r="A446" s="363">
        <f>COUNTIF(L$1:L446,"!")</f>
        <v>34</v>
      </c>
      <c r="B446" s="364" t="str">
        <f>A446&amp;"."&amp;COUNTIF(A$3:A446,A446)-1</f>
        <v>34.7</v>
      </c>
      <c r="C446" s="100" t="str">
        <f>IFERROR(VLOOKUP(D446,元件库!$B:$O,3,FALSE),"")</f>
        <v>电流.电压表</v>
      </c>
      <c r="D446" s="41" t="s">
        <v>150</v>
      </c>
      <c r="E446" s="101" t="s">
        <v>2821</v>
      </c>
      <c r="F446" s="101" t="s">
        <v>32</v>
      </c>
      <c r="G446" s="41" t="s">
        <v>29</v>
      </c>
      <c r="H446" s="41">
        <v>1</v>
      </c>
      <c r="I446" s="117">
        <f t="shared" si="200"/>
        <v>1.4E-3</v>
      </c>
      <c r="J446" s="117">
        <f t="shared" si="196"/>
        <v>1.4E-3</v>
      </c>
      <c r="K446" s="52"/>
      <c r="L446" s="53">
        <f t="shared" si="197"/>
        <v>1</v>
      </c>
      <c r="M446" s="69">
        <f t="shared" si="198"/>
        <v>13.750000000000002</v>
      </c>
      <c r="N446" s="55">
        <f>IFERROR(VLOOKUP(D446,元件库!$B:$O,10,FALSE),"1.00")</f>
        <v>0.55000000000000004</v>
      </c>
      <c r="O446" s="337">
        <f>IFERROR(VLOOKUP(D446,元件库!$B:$O,11,FALSE),"")</f>
        <v>25</v>
      </c>
      <c r="P446" s="57" t="str">
        <f t="shared" si="199"/>
        <v/>
      </c>
    </row>
    <row r="447" spans="1:18" s="23" customFormat="1" ht="16.5" customHeight="1" x14ac:dyDescent="0.2">
      <c r="A447" s="363">
        <f>COUNTIF(L$1:L447,"!")</f>
        <v>34</v>
      </c>
      <c r="B447" s="364" t="str">
        <f>A447&amp;"."&amp;COUNTIF(A$3:A447,A447)-1</f>
        <v>34.8</v>
      </c>
      <c r="C447" s="100" t="str">
        <f>IFERROR(VLOOKUP(D447,元件库!$B:$O,3,FALSE),"")</f>
        <v/>
      </c>
      <c r="D447" s="41" t="s">
        <v>2830</v>
      </c>
      <c r="E447" s="101" t="s">
        <v>2821</v>
      </c>
      <c r="F447" s="101" t="s">
        <v>32</v>
      </c>
      <c r="G447" s="41" t="s">
        <v>29</v>
      </c>
      <c r="H447" s="41">
        <v>1</v>
      </c>
      <c r="I447" s="117" t="str">
        <f t="shared" si="200"/>
        <v/>
      </c>
      <c r="J447" s="117" t="str">
        <f t="shared" si="196"/>
        <v/>
      </c>
      <c r="K447" s="52"/>
      <c r="L447" s="53">
        <f t="shared" si="197"/>
        <v>1</v>
      </c>
      <c r="M447" s="69" t="str">
        <f t="shared" si="198"/>
        <v/>
      </c>
      <c r="N447" s="55" t="str">
        <f>IFERROR(VLOOKUP(D447,元件库!$B:$O,10,FALSE),"1.00")</f>
        <v>1.00</v>
      </c>
      <c r="O447" s="337" t="str">
        <f>IFERROR(VLOOKUP(D447,元件库!$B:$O,11,FALSE),"")</f>
        <v/>
      </c>
      <c r="P447" s="57" t="str">
        <f t="shared" si="199"/>
        <v/>
      </c>
    </row>
    <row r="448" spans="1:18" s="23" customFormat="1" ht="16.5" customHeight="1" x14ac:dyDescent="0.2">
      <c r="A448" s="363">
        <f>COUNTIF(L$1:L448,"!")</f>
        <v>34</v>
      </c>
      <c r="B448" s="364" t="str">
        <f>A448&amp;"."&amp;COUNTIF(A$3:A448,A448)-1</f>
        <v>34.9</v>
      </c>
      <c r="C448" s="100" t="str">
        <f>IFERROR(VLOOKUP(D448,元件库!$B:$O,3,FALSE),"")</f>
        <v>浪涌保护器</v>
      </c>
      <c r="D448" s="41" t="s">
        <v>2831</v>
      </c>
      <c r="E448" s="101" t="s">
        <v>2821</v>
      </c>
      <c r="F448" s="101" t="s">
        <v>67</v>
      </c>
      <c r="G448" s="41" t="s">
        <v>29</v>
      </c>
      <c r="H448" s="41">
        <v>1</v>
      </c>
      <c r="I448" s="117">
        <f t="shared" si="200"/>
        <v>1.9E-2</v>
      </c>
      <c r="J448" s="117">
        <f t="shared" si="196"/>
        <v>1.9E-2</v>
      </c>
      <c r="K448" s="52"/>
      <c r="L448" s="53">
        <f t="shared" si="197"/>
        <v>1</v>
      </c>
      <c r="M448" s="69">
        <f t="shared" si="198"/>
        <v>190</v>
      </c>
      <c r="N448" s="55">
        <f>IFERROR(VLOOKUP(D448,元件库!$B:$O,10,FALSE),"1.00")</f>
        <v>1</v>
      </c>
      <c r="O448" s="337">
        <f>IFERROR(VLOOKUP(D448,元件库!$B:$O,11,FALSE),"")</f>
        <v>190</v>
      </c>
      <c r="P448" s="57" t="str">
        <f t="shared" si="199"/>
        <v/>
      </c>
    </row>
    <row r="449" spans="1:17" s="23" customFormat="1" ht="16.5" customHeight="1" x14ac:dyDescent="0.2">
      <c r="A449" s="363">
        <f>COUNTIF(L$1:L449,"!")</f>
        <v>34</v>
      </c>
      <c r="B449" s="364" t="str">
        <f>A449&amp;"."&amp;COUNTIF(A$3:A449,A449)-1</f>
        <v>34.10</v>
      </c>
      <c r="C449" s="100" t="str">
        <f>IFERROR(VLOOKUP(D449,元件库!$B:$O,3,FALSE),"")</f>
        <v/>
      </c>
      <c r="D449" s="41" t="s">
        <v>75</v>
      </c>
      <c r="E449" s="101" t="s">
        <v>2821</v>
      </c>
      <c r="F449" s="101" t="s">
        <v>32</v>
      </c>
      <c r="G449" s="41" t="s">
        <v>29</v>
      </c>
      <c r="H449" s="41">
        <v>4</v>
      </c>
      <c r="I449" s="117" t="str">
        <f t="shared" si="200"/>
        <v/>
      </c>
      <c r="J449" s="117" t="str">
        <f t="shared" si="196"/>
        <v/>
      </c>
      <c r="K449" s="52"/>
      <c r="L449" s="53">
        <f t="shared" si="197"/>
        <v>1</v>
      </c>
      <c r="M449" s="69" t="str">
        <f t="shared" si="198"/>
        <v/>
      </c>
      <c r="N449" s="55" t="str">
        <f>IFERROR(VLOOKUP(D449,元件库!$B:$O,10,FALSE),"1.00")</f>
        <v>1.00</v>
      </c>
      <c r="O449" s="337" t="str">
        <f>IFERROR(VLOOKUP(D449,元件库!$B:$O,11,FALSE),"")</f>
        <v/>
      </c>
      <c r="P449" s="57" t="str">
        <f t="shared" si="199"/>
        <v/>
      </c>
    </row>
    <row r="450" spans="1:17" s="23" customFormat="1" ht="16.5" customHeight="1" x14ac:dyDescent="0.2">
      <c r="A450" s="363">
        <f>COUNTIF(L$1:L450,"!")</f>
        <v>34</v>
      </c>
      <c r="B450" s="364" t="str">
        <f>A450&amp;"."&amp;COUNTIF(A$3:A450,A450)-1</f>
        <v>34.11</v>
      </c>
      <c r="C450" s="100" t="str">
        <f>IFERROR(VLOOKUP(D450,元件库!$B:$O,3,FALSE),"")</f>
        <v/>
      </c>
      <c r="D450" s="41" t="s">
        <v>2832</v>
      </c>
      <c r="E450" s="101" t="s">
        <v>2821</v>
      </c>
      <c r="F450" s="101" t="s">
        <v>32</v>
      </c>
      <c r="G450" s="41" t="s">
        <v>29</v>
      </c>
      <c r="H450" s="41">
        <v>4</v>
      </c>
      <c r="I450" s="117" t="str">
        <f>IFERROR(ROUND(L450*M450/10000,4),"")</f>
        <v/>
      </c>
      <c r="J450" s="117" t="str">
        <f>IFERROR(I450*H450,"")</f>
        <v/>
      </c>
      <c r="K450" s="52"/>
      <c r="L450" s="53">
        <f t="shared" si="197"/>
        <v>1</v>
      </c>
      <c r="M450" s="69" t="str">
        <f>IFERROR(O450*N450,"")</f>
        <v/>
      </c>
      <c r="N450" s="55" t="str">
        <f>IFERROR(VLOOKUP(D450,元件库!$B:$O,10,FALSE),"1.00")</f>
        <v>1.00</v>
      </c>
      <c r="O450" s="337" t="str">
        <f>IFERROR(VLOOKUP(D450,元件库!$B:$O,11,FALSE),"")</f>
        <v/>
      </c>
      <c r="P450" s="57" t="str">
        <f>IF(_xlfn.ISFORMULA(O450),"","值")</f>
        <v/>
      </c>
    </row>
    <row r="451" spans="1:17" s="23" customFormat="1" ht="16.5" customHeight="1" x14ac:dyDescent="0.2">
      <c r="A451" s="363">
        <f>COUNTIF(L$1:L451,"!")</f>
        <v>34</v>
      </c>
      <c r="B451" s="364" t="str">
        <f>A451&amp;"."&amp;COUNTIF(A$3:A451,A451)-1</f>
        <v>34.12</v>
      </c>
      <c r="C451" s="100" t="str">
        <f>IFERROR(VLOOKUP(D451,元件库!$B:$O,3,FALSE),"")</f>
        <v>指示灯</v>
      </c>
      <c r="D451" s="41" t="s">
        <v>35</v>
      </c>
      <c r="E451" s="101" t="s">
        <v>2821</v>
      </c>
      <c r="F451" s="101" t="s">
        <v>32</v>
      </c>
      <c r="G451" s="41" t="s">
        <v>29</v>
      </c>
      <c r="H451" s="41">
        <v>3</v>
      </c>
      <c r="I451" s="117">
        <f>IFERROR(ROUND(L451*M451/10000,4),"")</f>
        <v>2.0000000000000001E-4</v>
      </c>
      <c r="J451" s="117">
        <f>IFERROR(I451*H451,"")</f>
        <v>6.0000000000000006E-4</v>
      </c>
      <c r="K451" s="52"/>
      <c r="L451" s="53">
        <f t="shared" si="197"/>
        <v>1</v>
      </c>
      <c r="M451" s="69">
        <f>IFERROR(O451*N451,"")</f>
        <v>2.3100000000000005</v>
      </c>
      <c r="N451" s="55">
        <f>IFERROR(VLOOKUP(D451,元件库!$B:$O,10,FALSE),"1.00")</f>
        <v>0.55000000000000004</v>
      </c>
      <c r="O451" s="337">
        <f>IFERROR(VLOOKUP(D451,元件库!$B:$O,11,FALSE),"")</f>
        <v>4.2</v>
      </c>
      <c r="P451" s="57" t="str">
        <f>IF(_xlfn.ISFORMULA(O451),"","值")</f>
        <v/>
      </c>
    </row>
    <row r="452" spans="1:17" s="23" customFormat="1" ht="16.5" customHeight="1" x14ac:dyDescent="0.2">
      <c r="A452" s="363">
        <f>COUNTIF(L$1:L452,"!")</f>
        <v>34</v>
      </c>
      <c r="B452" s="364" t="str">
        <f>A452&amp;"."&amp;COUNTIF(A$3:A452,A452)-1</f>
        <v>34.13</v>
      </c>
      <c r="C452" s="100" t="str">
        <f>IFERROR(VLOOKUP(D452,元件库!$B:$O,3,FALSE),"")</f>
        <v/>
      </c>
      <c r="D452" s="41" t="s">
        <v>70</v>
      </c>
      <c r="E452" s="101" t="s">
        <v>2821</v>
      </c>
      <c r="F452" s="101" t="s">
        <v>32</v>
      </c>
      <c r="G452" s="41" t="s">
        <v>29</v>
      </c>
      <c r="H452" s="41">
        <v>2</v>
      </c>
      <c r="I452" s="117" t="str">
        <f>IFERROR(ROUND(L452*M452/10000,4),"")</f>
        <v/>
      </c>
      <c r="J452" s="117" t="str">
        <f>IFERROR(I452*H452,"")</f>
        <v/>
      </c>
      <c r="K452" s="52"/>
      <c r="L452" s="53">
        <f t="shared" si="197"/>
        <v>1</v>
      </c>
      <c r="M452" s="69" t="str">
        <f>IFERROR(O452*N452,"")</f>
        <v/>
      </c>
      <c r="N452" s="55" t="str">
        <f>IFERROR(VLOOKUP(D452,元件库!$B:$O,10,FALSE),"1.00")</f>
        <v>1.00</v>
      </c>
      <c r="O452" s="337" t="str">
        <f>IFERROR(VLOOKUP(D452,元件库!$B:$O,11,FALSE),"")</f>
        <v/>
      </c>
      <c r="P452" s="57" t="str">
        <f>IF(_xlfn.ISFORMULA(O452),"","值")</f>
        <v/>
      </c>
    </row>
    <row r="453" spans="1:17" s="23" customFormat="1" ht="16.5" customHeight="1" x14ac:dyDescent="0.2">
      <c r="A453" s="363">
        <f>COUNTIF(L$1:L453,"!")</f>
        <v>34</v>
      </c>
      <c r="B453" s="364" t="str">
        <f>A453&amp;"."&amp;COUNTIF(A$3:A453,A453)-1</f>
        <v>34.14</v>
      </c>
      <c r="C453" s="100" t="str">
        <f>IFERROR(VLOOKUP(D453,元件库!$B:$O,3,FALSE),"")</f>
        <v>铜排</v>
      </c>
      <c r="D453" s="41" t="s">
        <v>2816</v>
      </c>
      <c r="E453" s="101" t="s">
        <v>2817</v>
      </c>
      <c r="F453" s="101" t="s">
        <v>38</v>
      </c>
      <c r="G453" s="41" t="s">
        <v>39</v>
      </c>
      <c r="H453" s="41">
        <v>11</v>
      </c>
      <c r="I453" s="117">
        <f t="shared" ref="I453:I457" si="201">IFERROR(ROUND(L453*M453/10000,4),"")</f>
        <v>4.0599999999999997E-2</v>
      </c>
      <c r="J453" s="117">
        <f t="shared" ref="J453:J457" si="202">IFERROR(I453*H453,"")</f>
        <v>0.4466</v>
      </c>
      <c r="K453" s="52"/>
      <c r="L453" s="53">
        <f t="shared" si="197"/>
        <v>1</v>
      </c>
      <c r="M453" s="69">
        <f t="shared" ref="M453:M457" si="203">IFERROR(O453*N453,"")</f>
        <v>405.84</v>
      </c>
      <c r="N453" s="55">
        <f>IFERROR(VLOOKUP(D453,元件库!$B:$O,10,FALSE),"1.00")</f>
        <v>1</v>
      </c>
      <c r="O453" s="337">
        <f>IFERROR(VLOOKUP(D453,元件库!$B:$O,11,FALSE),"")</f>
        <v>405.84</v>
      </c>
      <c r="P453" s="57" t="str">
        <f t="shared" ref="P453:P457" si="204">IF(_xlfn.ISFORMULA(O453),"","值")</f>
        <v/>
      </c>
    </row>
    <row r="454" spans="1:17" s="23" customFormat="1" ht="16.5" customHeight="1" x14ac:dyDescent="0.2">
      <c r="A454" s="363">
        <f>COUNTIF(L$1:L454,"!")</f>
        <v>34</v>
      </c>
      <c r="B454" s="364" t="str">
        <f>A454&amp;"."&amp;COUNTIF(A$3:A454,A454)-1</f>
        <v>34.15</v>
      </c>
      <c r="C454" s="100" t="s">
        <v>42</v>
      </c>
      <c r="D454" s="41" t="s">
        <v>2816</v>
      </c>
      <c r="E454" s="101" t="s">
        <v>37</v>
      </c>
      <c r="F454" s="101" t="s">
        <v>38</v>
      </c>
      <c r="G454" s="41" t="s">
        <v>39</v>
      </c>
      <c r="H454" s="41">
        <v>2.4</v>
      </c>
      <c r="I454" s="117">
        <f t="shared" si="201"/>
        <v>4.0599999999999997E-2</v>
      </c>
      <c r="J454" s="117">
        <f t="shared" si="202"/>
        <v>9.7439999999999985E-2</v>
      </c>
      <c r="K454" s="52"/>
      <c r="L454" s="53">
        <f t="shared" si="197"/>
        <v>1</v>
      </c>
      <c r="M454" s="69">
        <f t="shared" si="203"/>
        <v>405.84</v>
      </c>
      <c r="N454" s="55">
        <f>IFERROR(VLOOKUP(D454,元件库!$B:$O,10,FALSE),"1.00")</f>
        <v>1</v>
      </c>
      <c r="O454" s="337">
        <f>IFERROR(VLOOKUP(D454,元件库!$B:$O,11,FALSE),"")</f>
        <v>405.84</v>
      </c>
      <c r="P454" s="57" t="str">
        <f t="shared" si="204"/>
        <v/>
      </c>
    </row>
    <row r="455" spans="1:17" s="23" customFormat="1" ht="16.5" customHeight="1" x14ac:dyDescent="0.2">
      <c r="A455" s="363">
        <f>COUNTIF(L$1:L455,"!")</f>
        <v>34</v>
      </c>
      <c r="B455" s="364" t="str">
        <f>A455&amp;"."&amp;COUNTIF(A$3:A455,A455)-1</f>
        <v>34.16</v>
      </c>
      <c r="C455" s="100" t="s">
        <v>44</v>
      </c>
      <c r="D455" s="41" t="s">
        <v>2816</v>
      </c>
      <c r="E455" s="101" t="s">
        <v>37</v>
      </c>
      <c r="F455" s="101" t="s">
        <v>38</v>
      </c>
      <c r="G455" s="41" t="s">
        <v>39</v>
      </c>
      <c r="H455" s="41">
        <v>2.2999999999999998</v>
      </c>
      <c r="I455" s="117">
        <f t="shared" si="201"/>
        <v>4.0599999999999997E-2</v>
      </c>
      <c r="J455" s="117">
        <f t="shared" si="202"/>
        <v>9.3379999999999991E-2</v>
      </c>
      <c r="K455" s="52"/>
      <c r="L455" s="53">
        <f t="shared" si="197"/>
        <v>1</v>
      </c>
      <c r="M455" s="69">
        <f t="shared" si="203"/>
        <v>405.84</v>
      </c>
      <c r="N455" s="55">
        <f>IFERROR(VLOOKUP(D455,元件库!$B:$O,10,FALSE),"1.00")</f>
        <v>1</v>
      </c>
      <c r="O455" s="337">
        <f>IFERROR(VLOOKUP(D455,元件库!$B:$O,11,FALSE),"")</f>
        <v>405.84</v>
      </c>
      <c r="P455" s="57" t="str">
        <f t="shared" si="204"/>
        <v/>
      </c>
    </row>
    <row r="456" spans="1:17" s="23" customFormat="1" ht="16.5" customHeight="1" x14ac:dyDescent="0.2">
      <c r="A456" s="363">
        <f>COUNTIF(L$1:L456,"!")</f>
        <v>34</v>
      </c>
      <c r="B456" s="364" t="str">
        <f>A456&amp;"."&amp;COUNTIF(A$3:A456,A456)-1</f>
        <v>34.17</v>
      </c>
      <c r="C456" s="100" t="s">
        <v>45</v>
      </c>
      <c r="D456" s="41" t="s">
        <v>2833</v>
      </c>
      <c r="E456" s="101" t="s">
        <v>37</v>
      </c>
      <c r="F456" s="101" t="s">
        <v>38</v>
      </c>
      <c r="G456" s="41" t="s">
        <v>39</v>
      </c>
      <c r="H456" s="41">
        <v>0.8</v>
      </c>
      <c r="I456" s="117">
        <f t="shared" si="201"/>
        <v>1.83E-2</v>
      </c>
      <c r="J456" s="117">
        <f t="shared" si="202"/>
        <v>1.464E-2</v>
      </c>
      <c r="K456" s="52"/>
      <c r="L456" s="53">
        <f t="shared" si="197"/>
        <v>1</v>
      </c>
      <c r="M456" s="69">
        <f t="shared" si="203"/>
        <v>182.62799999999999</v>
      </c>
      <c r="N456" s="55">
        <f>IFERROR(VLOOKUP(D456,元件库!$B:$O,10,FALSE),"1.00")</f>
        <v>1</v>
      </c>
      <c r="O456" s="337">
        <f>IFERROR(VLOOKUP(D456,元件库!$B:$O,11,FALSE),"")</f>
        <v>182.62799999999999</v>
      </c>
      <c r="P456" s="57" t="str">
        <f t="shared" si="204"/>
        <v/>
      </c>
    </row>
    <row r="457" spans="1:17" s="23" customFormat="1" ht="16.5" customHeight="1" x14ac:dyDescent="0.2">
      <c r="A457" s="363">
        <f>COUNTIF(L$1:L457,"!")</f>
        <v>34</v>
      </c>
      <c r="B457" s="364" t="str">
        <f>A457&amp;"."&amp;COUNTIF(A$3:A457,A457)-1</f>
        <v>34.18</v>
      </c>
      <c r="C457" s="100" t="s">
        <v>51</v>
      </c>
      <c r="D457" s="41"/>
      <c r="E457" s="101"/>
      <c r="F457" s="101"/>
      <c r="G457" s="41" t="s">
        <v>2812</v>
      </c>
      <c r="H457" s="41">
        <v>1</v>
      </c>
      <c r="I457" s="117">
        <f t="shared" si="201"/>
        <v>0.11</v>
      </c>
      <c r="J457" s="117">
        <f t="shared" si="202"/>
        <v>0.11</v>
      </c>
      <c r="K457" s="52"/>
      <c r="L457" s="53">
        <f t="shared" si="197"/>
        <v>1</v>
      </c>
      <c r="M457" s="69">
        <f t="shared" si="203"/>
        <v>1100</v>
      </c>
      <c r="N457" s="55">
        <v>1</v>
      </c>
      <c r="O457" s="337">
        <v>1100</v>
      </c>
      <c r="P457" s="57" t="str">
        <f t="shared" si="204"/>
        <v>值</v>
      </c>
    </row>
    <row r="458" spans="1:17" s="23" customFormat="1" ht="27" customHeight="1" x14ac:dyDescent="0.2">
      <c r="A458" s="363">
        <f>COUNTIF(L$1:L458,"!")</f>
        <v>34</v>
      </c>
      <c r="B458" s="364" t="str">
        <f>A458&amp;"."&amp;COUNTIF(A$3:A458,A458)-1</f>
        <v>34.19</v>
      </c>
      <c r="C458" s="103" t="s">
        <v>53</v>
      </c>
      <c r="D458" s="104"/>
      <c r="E458" s="365"/>
      <c r="F458" s="101"/>
      <c r="G458" s="104"/>
      <c r="H458" s="104" t="s">
        <v>1</v>
      </c>
      <c r="I458" s="118" t="s">
        <v>52</v>
      </c>
      <c r="J458" s="366"/>
      <c r="K458" s="104"/>
      <c r="L458" s="53"/>
      <c r="M458" s="119"/>
      <c r="N458" s="70"/>
      <c r="O458" s="337"/>
    </row>
    <row r="459" spans="1:17" s="30" customFormat="1" ht="27" customHeight="1" x14ac:dyDescent="0.2">
      <c r="A459" s="363">
        <f>COUNTIF(L$1:L459,"!")</f>
        <v>34</v>
      </c>
      <c r="B459" s="364" t="str">
        <f>A459&amp;"."&amp;COUNTIF(A$3:A459,A459)-1</f>
        <v>34.20</v>
      </c>
      <c r="C459" s="103" t="s">
        <v>54</v>
      </c>
      <c r="D459" s="104"/>
      <c r="E459" s="365"/>
      <c r="F459" s="101"/>
      <c r="G459" s="104"/>
      <c r="H459" s="104"/>
      <c r="I459" s="118" t="s">
        <v>1</v>
      </c>
      <c r="J459" s="120">
        <f>SUM(J440:J458)</f>
        <v>1.5017600000000002</v>
      </c>
      <c r="K459" s="104"/>
      <c r="L459" s="53"/>
      <c r="M459" s="119"/>
      <c r="N459" s="70"/>
      <c r="O459" s="337"/>
      <c r="Q459" s="90"/>
    </row>
    <row r="460" spans="1:17" s="23" customFormat="1" ht="16.5" customHeight="1" x14ac:dyDescent="0.15">
      <c r="A460" s="97">
        <f>COUNTIF(L$1:L460,"!")</f>
        <v>35</v>
      </c>
      <c r="B460" s="32" t="str">
        <f>COUNTIF(L$2:L461,"!")&amp;"."</f>
        <v>35.</v>
      </c>
      <c r="C460" s="47" t="s">
        <v>2836</v>
      </c>
      <c r="D460" s="35" t="str">
        <f>D461</f>
        <v>GGD-1200*600*2000</v>
      </c>
      <c r="E460" s="367" t="s">
        <v>22</v>
      </c>
      <c r="F460" s="367" t="s">
        <v>3261</v>
      </c>
      <c r="G460" s="34" t="s">
        <v>23</v>
      </c>
      <c r="H460" s="98">
        <v>1</v>
      </c>
      <c r="I460" s="115">
        <f>LOOKUP(0,0/((A460:A475=A460)*(C460:C475="合计金额（单位完整货物单价）")),J460:J475)</f>
        <v>1.0738599999999998</v>
      </c>
      <c r="J460" s="116">
        <f>IFERROR(I460*H460,"")</f>
        <v>1.0738599999999998</v>
      </c>
      <c r="K460" s="34"/>
      <c r="L460" s="48" t="s">
        <v>24</v>
      </c>
      <c r="M460" s="49"/>
      <c r="N460" s="50"/>
      <c r="O460" s="51"/>
      <c r="Q460" s="360">
        <f>COUNTIF(L$3:L460,"#")</f>
        <v>5</v>
      </c>
    </row>
    <row r="461" spans="1:17" s="23" customFormat="1" ht="16.5" customHeight="1" x14ac:dyDescent="0.2">
      <c r="A461" s="363">
        <f>COUNTIF(L$1:L461,"!")</f>
        <v>35</v>
      </c>
      <c r="B461" s="364" t="str">
        <f>A461&amp;"."&amp;COUNTIF(A$3:A461,A461)-1</f>
        <v>35.1</v>
      </c>
      <c r="C461" s="100" t="s">
        <v>25</v>
      </c>
      <c r="D461" s="41" t="s">
        <v>2999</v>
      </c>
      <c r="E461" s="101" t="s">
        <v>22</v>
      </c>
      <c r="F461" s="101" t="s">
        <v>3261</v>
      </c>
      <c r="G461" s="41" t="s">
        <v>23</v>
      </c>
      <c r="H461" s="41">
        <v>1</v>
      </c>
      <c r="I461" s="117">
        <f>IFERROR(ROUND(L461*M461/10000,4),"")</f>
        <v>0.185</v>
      </c>
      <c r="J461" s="117">
        <f t="shared" ref="J461:J473" si="205">IFERROR(I461*H461,"")</f>
        <v>0.185</v>
      </c>
      <c r="K461" s="52"/>
      <c r="L461" s="53">
        <f t="shared" ref="L461:L473" si="206">L$2</f>
        <v>1</v>
      </c>
      <c r="M461" s="69">
        <f t="shared" ref="M461:M473" si="207">IFERROR(O461*N461,"")</f>
        <v>1850</v>
      </c>
      <c r="N461" s="55">
        <f>IFERROR(VLOOKUP(D461,元件库!$B:$O,10,FALSE),"1.00")</f>
        <v>1</v>
      </c>
      <c r="O461" s="337">
        <f>IFERROR(VLOOKUP(D461,元件库!$B:$O,11,FALSE),"")</f>
        <v>1850</v>
      </c>
      <c r="P461" s="57" t="str">
        <f t="shared" ref="P461:P473" si="208">IF(_xlfn.ISFORMULA(O461),"","值")</f>
        <v/>
      </c>
      <c r="Q461" s="90"/>
    </row>
    <row r="462" spans="1:17" s="23" customFormat="1" ht="16.5" customHeight="1" x14ac:dyDescent="0.2">
      <c r="A462" s="363">
        <f>COUNTIF(L$1:L462,"!")</f>
        <v>35</v>
      </c>
      <c r="B462" s="364" t="str">
        <f>A462&amp;"."&amp;COUNTIF(A$3:A462,A462)-1</f>
        <v>35.2</v>
      </c>
      <c r="C462" s="100" t="str">
        <f>IFERROR(VLOOKUP(D462,元件库!$B:$O,3,FALSE),"")</f>
        <v/>
      </c>
      <c r="D462" s="41" t="s">
        <v>3000</v>
      </c>
      <c r="E462" s="101" t="s">
        <v>22</v>
      </c>
      <c r="F462" s="101" t="s">
        <v>32</v>
      </c>
      <c r="G462" s="41" t="s">
        <v>29</v>
      </c>
      <c r="H462" s="41">
        <v>2</v>
      </c>
      <c r="I462" s="117" t="str">
        <f t="shared" ref="I462:I473" si="209">IFERROR(ROUND(L462*M462/10000,4),"")</f>
        <v/>
      </c>
      <c r="J462" s="117" t="str">
        <f t="shared" si="205"/>
        <v/>
      </c>
      <c r="K462" s="52"/>
      <c r="L462" s="53">
        <f t="shared" si="206"/>
        <v>1</v>
      </c>
      <c r="M462" s="69" t="str">
        <f t="shared" si="207"/>
        <v/>
      </c>
      <c r="N462" s="55" t="str">
        <f>IFERROR(VLOOKUP(D462,元件库!$B:$O,10,FALSE),"1.00")</f>
        <v>1.00</v>
      </c>
      <c r="O462" s="337" t="str">
        <f>IFERROR(VLOOKUP(D462,元件库!$B:$O,11,FALSE),"")</f>
        <v/>
      </c>
      <c r="P462" s="57" t="str">
        <f t="shared" si="208"/>
        <v/>
      </c>
      <c r="Q462" s="90"/>
    </row>
    <row r="463" spans="1:17" s="23" customFormat="1" ht="16.5" customHeight="1" x14ac:dyDescent="0.2">
      <c r="A463" s="363">
        <f>COUNTIF(L$1:L463,"!")</f>
        <v>35</v>
      </c>
      <c r="B463" s="364" t="str">
        <f>A463&amp;"."&amp;COUNTIF(A$3:A463,A463)-1</f>
        <v>35.3</v>
      </c>
      <c r="C463" s="100" t="str">
        <f>IFERROR(VLOOKUP(D463,元件库!$B:$O,3,FALSE),"")</f>
        <v/>
      </c>
      <c r="D463" s="41" t="s">
        <v>3001</v>
      </c>
      <c r="E463" s="101" t="s">
        <v>22</v>
      </c>
      <c r="F463" s="101" t="s">
        <v>32</v>
      </c>
      <c r="G463" s="41" t="s">
        <v>29</v>
      </c>
      <c r="H463" s="41">
        <v>4</v>
      </c>
      <c r="I463" s="117" t="str">
        <f t="shared" si="209"/>
        <v/>
      </c>
      <c r="J463" s="117" t="str">
        <f t="shared" si="205"/>
        <v/>
      </c>
      <c r="K463" s="52"/>
      <c r="L463" s="53">
        <f t="shared" si="206"/>
        <v>1</v>
      </c>
      <c r="M463" s="69" t="str">
        <f t="shared" si="207"/>
        <v/>
      </c>
      <c r="N463" s="55" t="str">
        <f>IFERROR(VLOOKUP(D463,元件库!$B:$O,10,FALSE),"1.00")</f>
        <v>1.00</v>
      </c>
      <c r="O463" s="337" t="str">
        <f>IFERROR(VLOOKUP(D463,元件库!$B:$O,11,FALSE),"")</f>
        <v/>
      </c>
      <c r="P463" s="57" t="str">
        <f t="shared" si="208"/>
        <v/>
      </c>
      <c r="Q463" s="90"/>
    </row>
    <row r="464" spans="1:17" s="23" customFormat="1" ht="16.5" customHeight="1" x14ac:dyDescent="0.2">
      <c r="A464" s="363">
        <f>COUNTIF(L$1:L464,"!")</f>
        <v>35</v>
      </c>
      <c r="B464" s="364" t="str">
        <f>A464&amp;"."&amp;COUNTIF(A$3:A464,A464)-1</f>
        <v>35.4</v>
      </c>
      <c r="C464" s="100" t="str">
        <f>IFERROR(VLOOKUP(D464,元件库!$B:$O,3,FALSE),"")</f>
        <v>塑壳断路器</v>
      </c>
      <c r="D464" s="41" t="s">
        <v>3002</v>
      </c>
      <c r="E464" s="101" t="s">
        <v>22</v>
      </c>
      <c r="F464" s="101" t="s">
        <v>28</v>
      </c>
      <c r="G464" s="41" t="s">
        <v>29</v>
      </c>
      <c r="H464" s="41">
        <v>2</v>
      </c>
      <c r="I464" s="117">
        <f t="shared" si="209"/>
        <v>9.98E-2</v>
      </c>
      <c r="J464" s="117">
        <f t="shared" si="205"/>
        <v>0.1996</v>
      </c>
      <c r="K464" s="52"/>
      <c r="L464" s="53">
        <f t="shared" si="206"/>
        <v>1</v>
      </c>
      <c r="M464" s="69">
        <f t="shared" si="207"/>
        <v>998</v>
      </c>
      <c r="N464" s="55">
        <f>IFERROR(VLOOKUP(D464,元件库!$B:$O,10,FALSE),"1.00")</f>
        <v>1</v>
      </c>
      <c r="O464" s="337">
        <f>IFERROR(VLOOKUP(D464,元件库!$B:$O,11,FALSE),"")</f>
        <v>998</v>
      </c>
      <c r="P464" s="57" t="str">
        <f t="shared" si="208"/>
        <v/>
      </c>
      <c r="Q464" s="90"/>
    </row>
    <row r="465" spans="1:17" s="23" customFormat="1" ht="16.5" customHeight="1" x14ac:dyDescent="0.2">
      <c r="A465" s="363">
        <f>COUNTIF(L$1:L465,"!")</f>
        <v>35</v>
      </c>
      <c r="B465" s="364" t="str">
        <f>A465&amp;"."&amp;COUNTIF(A$3:A465,A465)-1</f>
        <v>35.5</v>
      </c>
      <c r="C465" s="100" t="str">
        <f>IFERROR(VLOOKUP(D465,元件库!$B:$O,3,FALSE),"")</f>
        <v>塑壳断路器</v>
      </c>
      <c r="D465" s="41" t="s">
        <v>2840</v>
      </c>
      <c r="E465" s="101" t="s">
        <v>22</v>
      </c>
      <c r="F465" s="101" t="s">
        <v>28</v>
      </c>
      <c r="G465" s="41" t="s">
        <v>29</v>
      </c>
      <c r="H465" s="41">
        <v>4</v>
      </c>
      <c r="I465" s="117">
        <f t="shared" si="209"/>
        <v>7.3499999999999996E-2</v>
      </c>
      <c r="J465" s="117">
        <f t="shared" si="205"/>
        <v>0.29399999999999998</v>
      </c>
      <c r="K465" s="52"/>
      <c r="L465" s="53">
        <f t="shared" si="206"/>
        <v>1</v>
      </c>
      <c r="M465" s="69">
        <f t="shared" si="207"/>
        <v>735</v>
      </c>
      <c r="N465" s="55">
        <f>IFERROR(VLOOKUP(D465,元件库!$B:$O,10,FALSE),"1.00")</f>
        <v>1</v>
      </c>
      <c r="O465" s="337">
        <f>IFERROR(VLOOKUP(D465,元件库!$B:$O,11,FALSE),"")</f>
        <v>735</v>
      </c>
      <c r="P465" s="57" t="str">
        <f t="shared" si="208"/>
        <v/>
      </c>
    </row>
    <row r="466" spans="1:17" s="23" customFormat="1" ht="16.5" customHeight="1" x14ac:dyDescent="0.2">
      <c r="A466" s="363">
        <f>COUNTIF(L$1:L466,"!")</f>
        <v>35</v>
      </c>
      <c r="B466" s="364" t="str">
        <f>A466&amp;"."&amp;COUNTIF(A$3:A466,A466)-1</f>
        <v>35.6</v>
      </c>
      <c r="C466" s="100" t="str">
        <f>IFERROR(VLOOKUP(D466,元件库!$B:$O,3,FALSE),"")</f>
        <v/>
      </c>
      <c r="D466" s="41" t="s">
        <v>2832</v>
      </c>
      <c r="E466" s="101" t="s">
        <v>22</v>
      </c>
      <c r="F466" s="101" t="s">
        <v>32</v>
      </c>
      <c r="G466" s="41" t="s">
        <v>29</v>
      </c>
      <c r="H466" s="41">
        <v>6</v>
      </c>
      <c r="I466" s="117" t="str">
        <f t="shared" si="209"/>
        <v/>
      </c>
      <c r="J466" s="117" t="str">
        <f t="shared" si="205"/>
        <v/>
      </c>
      <c r="K466" s="52"/>
      <c r="L466" s="53">
        <f t="shared" si="206"/>
        <v>1</v>
      </c>
      <c r="M466" s="69" t="str">
        <f t="shared" si="207"/>
        <v/>
      </c>
      <c r="N466" s="55" t="str">
        <f>IFERROR(VLOOKUP(D466,元件库!$B:$O,10,FALSE),"1.00")</f>
        <v>1.00</v>
      </c>
      <c r="O466" s="337" t="str">
        <f>IFERROR(VLOOKUP(D466,元件库!$B:$O,11,FALSE),"")</f>
        <v/>
      </c>
      <c r="P466" s="57" t="str">
        <f t="shared" si="208"/>
        <v/>
      </c>
    </row>
    <row r="467" spans="1:17" s="23" customFormat="1" ht="16.5" customHeight="1" x14ac:dyDescent="0.2">
      <c r="A467" s="363">
        <f>COUNTIF(L$1:L467,"!")</f>
        <v>35</v>
      </c>
      <c r="B467" s="364" t="str">
        <f>A467&amp;"."&amp;COUNTIF(A$3:A467,A467)-1</f>
        <v>35.7</v>
      </c>
      <c r="C467" s="100" t="str">
        <f>IFERROR(VLOOKUP(D467,元件库!$B:$O,3,FALSE),"")</f>
        <v>指示灯</v>
      </c>
      <c r="D467" s="41" t="s">
        <v>35</v>
      </c>
      <c r="E467" s="101" t="s">
        <v>22</v>
      </c>
      <c r="F467" s="101" t="s">
        <v>32</v>
      </c>
      <c r="G467" s="41" t="s">
        <v>29</v>
      </c>
      <c r="H467" s="41">
        <v>6</v>
      </c>
      <c r="I467" s="117">
        <f t="shared" si="209"/>
        <v>2.0000000000000001E-4</v>
      </c>
      <c r="J467" s="117">
        <f t="shared" si="205"/>
        <v>1.2000000000000001E-3</v>
      </c>
      <c r="K467" s="52"/>
      <c r="L467" s="53">
        <f t="shared" si="206"/>
        <v>1</v>
      </c>
      <c r="M467" s="69">
        <f t="shared" si="207"/>
        <v>2.3100000000000005</v>
      </c>
      <c r="N467" s="55">
        <f>IFERROR(VLOOKUP(D467,元件库!$B:$O,10,FALSE),"1.00")</f>
        <v>0.55000000000000004</v>
      </c>
      <c r="O467" s="337">
        <f>IFERROR(VLOOKUP(D467,元件库!$B:$O,11,FALSE),"")</f>
        <v>4.2</v>
      </c>
      <c r="P467" s="57" t="str">
        <f t="shared" si="208"/>
        <v/>
      </c>
    </row>
    <row r="468" spans="1:17" s="23" customFormat="1" ht="16.5" customHeight="1" x14ac:dyDescent="0.2">
      <c r="A468" s="363">
        <f>COUNTIF(L$1:L468,"!")</f>
        <v>35</v>
      </c>
      <c r="B468" s="364" t="str">
        <f>A468&amp;"."&amp;COUNTIF(A$3:A468,A468)-1</f>
        <v>35.8</v>
      </c>
      <c r="C468" s="100" t="str">
        <f>IFERROR(VLOOKUP(D468,元件库!$B:$O,3,FALSE),"")</f>
        <v>铜排</v>
      </c>
      <c r="D468" s="41" t="s">
        <v>3003</v>
      </c>
      <c r="E468" s="101" t="s">
        <v>37</v>
      </c>
      <c r="F468" s="101" t="s">
        <v>38</v>
      </c>
      <c r="G468" s="41" t="s">
        <v>39</v>
      </c>
      <c r="H468" s="41">
        <v>5</v>
      </c>
      <c r="I468" s="117">
        <f t="shared" si="209"/>
        <v>1.2699999999999999E-2</v>
      </c>
      <c r="J468" s="117">
        <f t="shared" si="205"/>
        <v>6.3500000000000001E-2</v>
      </c>
      <c r="K468" s="52"/>
      <c r="L468" s="53">
        <f t="shared" si="206"/>
        <v>1</v>
      </c>
      <c r="M468" s="69">
        <f t="shared" si="207"/>
        <v>126.82499999999999</v>
      </c>
      <c r="N468" s="55">
        <f>IFERROR(VLOOKUP(D468,元件库!$B:$O,10,FALSE),"1.00")</f>
        <v>1</v>
      </c>
      <c r="O468" s="337">
        <f>IFERROR(VLOOKUP(D468,元件库!$B:$O,11,FALSE),"")</f>
        <v>126.82499999999999</v>
      </c>
      <c r="P468" s="57" t="str">
        <f t="shared" si="208"/>
        <v/>
      </c>
    </row>
    <row r="469" spans="1:17" s="23" customFormat="1" ht="16.5" customHeight="1" x14ac:dyDescent="0.2">
      <c r="A469" s="363">
        <f>COUNTIF(L$1:L469,"!")</f>
        <v>35</v>
      </c>
      <c r="B469" s="364" t="str">
        <f>A469&amp;"."&amp;COUNTIF(A$3:A469,A469)-1</f>
        <v>35.9</v>
      </c>
      <c r="C469" s="100" t="str">
        <f>IFERROR(VLOOKUP(D469,元件库!$B:$O,3,FALSE),"")</f>
        <v>铜排</v>
      </c>
      <c r="D469" s="41" t="s">
        <v>2845</v>
      </c>
      <c r="E469" s="101" t="s">
        <v>37</v>
      </c>
      <c r="F469" s="101" t="s">
        <v>38</v>
      </c>
      <c r="G469" s="41" t="s">
        <v>39</v>
      </c>
      <c r="H469" s="41">
        <v>10</v>
      </c>
      <c r="I469" s="117">
        <f t="shared" si="209"/>
        <v>7.6E-3</v>
      </c>
      <c r="J469" s="117">
        <f t="shared" si="205"/>
        <v>7.5999999999999998E-2</v>
      </c>
      <c r="K469" s="52"/>
      <c r="L469" s="53">
        <f t="shared" si="206"/>
        <v>1</v>
      </c>
      <c r="M469" s="69">
        <f t="shared" si="207"/>
        <v>76.094999999999999</v>
      </c>
      <c r="N469" s="55">
        <f>IFERROR(VLOOKUP(D469,元件库!$B:$O,10,FALSE),"1.00")</f>
        <v>1</v>
      </c>
      <c r="O469" s="337">
        <f>IFERROR(VLOOKUP(D469,元件库!$B:$O,11,FALSE),"")</f>
        <v>76.094999999999999</v>
      </c>
      <c r="P469" s="57" t="str">
        <f t="shared" si="208"/>
        <v/>
      </c>
    </row>
    <row r="470" spans="1:17" s="23" customFormat="1" ht="16.5" customHeight="1" x14ac:dyDescent="0.2">
      <c r="A470" s="363">
        <f>COUNTIF(L$1:L470,"!")</f>
        <v>35</v>
      </c>
      <c r="B470" s="364" t="str">
        <f>A470&amp;"."&amp;COUNTIF(A$3:A470,A470)-1</f>
        <v>35.10</v>
      </c>
      <c r="C470" s="100" t="s">
        <v>42</v>
      </c>
      <c r="D470" s="41" t="s">
        <v>2816</v>
      </c>
      <c r="E470" s="101" t="s">
        <v>37</v>
      </c>
      <c r="F470" s="101" t="s">
        <v>38</v>
      </c>
      <c r="G470" s="41" t="s">
        <v>39</v>
      </c>
      <c r="H470" s="41">
        <v>2.4</v>
      </c>
      <c r="I470" s="117">
        <f t="shared" si="209"/>
        <v>4.0599999999999997E-2</v>
      </c>
      <c r="J470" s="117">
        <f t="shared" si="205"/>
        <v>9.7439999999999985E-2</v>
      </c>
      <c r="K470" s="52"/>
      <c r="L470" s="53">
        <f t="shared" si="206"/>
        <v>1</v>
      </c>
      <c r="M470" s="69">
        <f t="shared" si="207"/>
        <v>405.84</v>
      </c>
      <c r="N470" s="55">
        <f>IFERROR(VLOOKUP(D470,元件库!$B:$O,10,FALSE),"1.00")</f>
        <v>1</v>
      </c>
      <c r="O470" s="337">
        <f>IFERROR(VLOOKUP(D470,元件库!$B:$O,11,FALSE),"")</f>
        <v>405.84</v>
      </c>
      <c r="P470" s="57" t="str">
        <f t="shared" si="208"/>
        <v/>
      </c>
      <c r="Q470" s="59" t="str">
        <f>IFERROR(LOOKUP(0,0/((A$2:A468=A470)*(C$2:C468="壳体W*H*D")),D$2:D468),LOOKUP(0,0/((A$2:A468=A470)*(C$2:C468="壳体W*D*H")),D$2:D468))</f>
        <v>GGD-1200*600*2000</v>
      </c>
    </row>
    <row r="471" spans="1:17" s="23" customFormat="1" ht="16.5" customHeight="1" x14ac:dyDescent="0.2">
      <c r="A471" s="363">
        <f>COUNTIF(L$1:L471,"!")</f>
        <v>35</v>
      </c>
      <c r="B471" s="364" t="str">
        <f>A471&amp;"."&amp;COUNTIF(A$3:A471,A471)-1</f>
        <v>35.11</v>
      </c>
      <c r="C471" s="100" t="s">
        <v>44</v>
      </c>
      <c r="D471" s="41" t="s">
        <v>2816</v>
      </c>
      <c r="E471" s="101" t="s">
        <v>37</v>
      </c>
      <c r="F471" s="101" t="s">
        <v>38</v>
      </c>
      <c r="G471" s="41" t="s">
        <v>39</v>
      </c>
      <c r="H471" s="41">
        <v>0.8</v>
      </c>
      <c r="I471" s="117">
        <f t="shared" si="209"/>
        <v>4.0599999999999997E-2</v>
      </c>
      <c r="J471" s="117">
        <f t="shared" si="205"/>
        <v>3.2480000000000002E-2</v>
      </c>
      <c r="K471" s="52"/>
      <c r="L471" s="53">
        <f t="shared" si="206"/>
        <v>1</v>
      </c>
      <c r="M471" s="69">
        <f t="shared" si="207"/>
        <v>405.84</v>
      </c>
      <c r="N471" s="55">
        <f>IFERROR(VLOOKUP(D471,元件库!$B:$O,10,FALSE),"1.00")</f>
        <v>1</v>
      </c>
      <c r="O471" s="337">
        <f>IFERROR(VLOOKUP(D471,元件库!$B:$O,11,FALSE),"")</f>
        <v>405.84</v>
      </c>
      <c r="P471" s="57" t="str">
        <f t="shared" si="208"/>
        <v/>
      </c>
      <c r="Q471" s="59" t="str">
        <f>IFERROR(LOOKUP(0,0/((A$2:A470=A471)*(C$2:C470="壳体W*H*D")),D$2:D470),LOOKUP(0,0/((A$2:A470=A471)*(C$2:C470="壳体W*D*H")),D$2:D470))</f>
        <v>GGD-1200*600*2000</v>
      </c>
    </row>
    <row r="472" spans="1:17" s="23" customFormat="1" ht="16.5" customHeight="1" x14ac:dyDescent="0.2">
      <c r="A472" s="363">
        <f>COUNTIF(L$1:L472,"!")</f>
        <v>35</v>
      </c>
      <c r="B472" s="364" t="str">
        <f>A472&amp;"."&amp;COUNTIF(A$3:A472,A472)-1</f>
        <v>35.12</v>
      </c>
      <c r="C472" s="100" t="s">
        <v>45</v>
      </c>
      <c r="D472" s="41" t="s">
        <v>2833</v>
      </c>
      <c r="E472" s="101" t="s">
        <v>37</v>
      </c>
      <c r="F472" s="101" t="s">
        <v>38</v>
      </c>
      <c r="G472" s="41" t="s">
        <v>39</v>
      </c>
      <c r="H472" s="41">
        <v>0.8</v>
      </c>
      <c r="I472" s="117">
        <f t="shared" si="209"/>
        <v>1.83E-2</v>
      </c>
      <c r="J472" s="117">
        <f t="shared" si="205"/>
        <v>1.464E-2</v>
      </c>
      <c r="K472" s="52"/>
      <c r="L472" s="53">
        <f t="shared" si="206"/>
        <v>1</v>
      </c>
      <c r="M472" s="69">
        <f t="shared" si="207"/>
        <v>182.62799999999999</v>
      </c>
      <c r="N472" s="55">
        <f>IFERROR(VLOOKUP(D472,元件库!$B:$O,10,FALSE),"1.00")</f>
        <v>1</v>
      </c>
      <c r="O472" s="337">
        <f>IFERROR(VLOOKUP(D472,元件库!$B:$O,11,FALSE),"")</f>
        <v>182.62799999999999</v>
      </c>
      <c r="P472" s="57" t="str">
        <f t="shared" si="208"/>
        <v/>
      </c>
      <c r="Q472" s="59" t="str">
        <f>IFERROR(LOOKUP(0,0/((A$2:A471=A472)*(C$2:C471="壳体W*H*D")),D$2:D471),LOOKUP(0,0/((A$2:A471=A472)*(C$2:C471="壳体W*D*H")),D$2:D471))</f>
        <v>GGD-1200*600*2000</v>
      </c>
    </row>
    <row r="473" spans="1:17" s="23" customFormat="1" ht="16.5" customHeight="1" x14ac:dyDescent="0.2">
      <c r="A473" s="363">
        <f>COUNTIF(L$1:L473,"!")</f>
        <v>35</v>
      </c>
      <c r="B473" s="364" t="str">
        <f>A473&amp;"."&amp;COUNTIF(A$3:A473,A473)-1</f>
        <v>35.13</v>
      </c>
      <c r="C473" s="100" t="s">
        <v>51</v>
      </c>
      <c r="D473" s="41"/>
      <c r="E473" s="101"/>
      <c r="F473" s="101"/>
      <c r="G473" s="41" t="s">
        <v>2812</v>
      </c>
      <c r="H473" s="41">
        <v>1</v>
      </c>
      <c r="I473" s="117">
        <f t="shared" si="209"/>
        <v>0.11</v>
      </c>
      <c r="J473" s="117">
        <f t="shared" si="205"/>
        <v>0.11</v>
      </c>
      <c r="K473" s="52"/>
      <c r="L473" s="53">
        <f t="shared" si="206"/>
        <v>1</v>
      </c>
      <c r="M473" s="69">
        <f t="shared" si="207"/>
        <v>1100</v>
      </c>
      <c r="N473" s="55">
        <v>1</v>
      </c>
      <c r="O473" s="337">
        <v>1100</v>
      </c>
      <c r="P473" s="57" t="str">
        <f t="shared" si="208"/>
        <v>值</v>
      </c>
    </row>
    <row r="474" spans="1:17" s="23" customFormat="1" ht="27" customHeight="1" x14ac:dyDescent="0.2">
      <c r="A474" s="363">
        <f>COUNTIF(L$1:L474,"!")</f>
        <v>35</v>
      </c>
      <c r="B474" s="364" t="str">
        <f>A474&amp;"."&amp;COUNTIF(A$3:A474,A474)-1</f>
        <v>35.14</v>
      </c>
      <c r="C474" s="103" t="s">
        <v>53</v>
      </c>
      <c r="D474" s="104"/>
      <c r="E474" s="365"/>
      <c r="F474" s="101"/>
      <c r="G474" s="104"/>
      <c r="H474" s="104" t="s">
        <v>1</v>
      </c>
      <c r="I474" s="118" t="s">
        <v>52</v>
      </c>
      <c r="J474" s="366"/>
      <c r="K474" s="104"/>
      <c r="L474" s="53"/>
      <c r="M474" s="119"/>
      <c r="N474" s="70"/>
      <c r="O474" s="337"/>
    </row>
    <row r="475" spans="1:17" s="30" customFormat="1" ht="27" customHeight="1" x14ac:dyDescent="0.2">
      <c r="A475" s="363">
        <f>COUNTIF(L$1:L475,"!")</f>
        <v>35</v>
      </c>
      <c r="B475" s="364" t="str">
        <f>A475&amp;"."&amp;COUNTIF(A$3:A475,A475)-1</f>
        <v>35.15</v>
      </c>
      <c r="C475" s="103" t="s">
        <v>54</v>
      </c>
      <c r="D475" s="104"/>
      <c r="E475" s="365"/>
      <c r="F475" s="101"/>
      <c r="G475" s="104"/>
      <c r="H475" s="104"/>
      <c r="I475" s="118" t="s">
        <v>1</v>
      </c>
      <c r="J475" s="120">
        <f>SUM(J461:J474)</f>
        <v>1.0738599999999998</v>
      </c>
      <c r="K475" s="104"/>
      <c r="L475" s="53"/>
      <c r="M475" s="119"/>
      <c r="N475" s="70"/>
      <c r="O475" s="337"/>
      <c r="Q475" s="90"/>
    </row>
    <row r="476" spans="1:17" s="23" customFormat="1" ht="16.5" customHeight="1" x14ac:dyDescent="0.15">
      <c r="A476" s="97">
        <f>COUNTIF(L$1:L476,"!")</f>
        <v>36</v>
      </c>
      <c r="B476" s="32" t="str">
        <f>COUNTIF(L$2:L477,"!")&amp;"."</f>
        <v>36.</v>
      </c>
      <c r="C476" s="47" t="s">
        <v>2847</v>
      </c>
      <c r="D476" s="35" t="s">
        <v>2848</v>
      </c>
      <c r="E476" s="367" t="s">
        <v>22</v>
      </c>
      <c r="F476" s="367" t="s">
        <v>3261</v>
      </c>
      <c r="G476" s="34" t="s">
        <v>23</v>
      </c>
      <c r="H476" s="98">
        <v>1</v>
      </c>
      <c r="I476" s="115">
        <f>LOOKUP(0,0/((A476:A497=A476)*(C476:C497="合计金额（单位完整货物单价）")),J476:J497)</f>
        <v>1.31786</v>
      </c>
      <c r="J476" s="116">
        <f>IFERROR(I476*H476,"")</f>
        <v>1.31786</v>
      </c>
      <c r="K476" s="34"/>
      <c r="L476" s="48" t="s">
        <v>24</v>
      </c>
      <c r="M476" s="49"/>
      <c r="N476" s="50"/>
      <c r="O476" s="51"/>
      <c r="Q476" s="360">
        <f>COUNTIF(L$3:L476,"#")</f>
        <v>5</v>
      </c>
    </row>
    <row r="477" spans="1:17" s="23" customFormat="1" ht="16.5" customHeight="1" x14ac:dyDescent="0.2">
      <c r="A477" s="363">
        <f>COUNTIF(L$1:L477,"!")</f>
        <v>36</v>
      </c>
      <c r="B477" s="364" t="str">
        <f>A477&amp;"."&amp;COUNTIF(A$3:A477,A477)-1</f>
        <v>36.1</v>
      </c>
      <c r="C477" s="100" t="s">
        <v>25</v>
      </c>
      <c r="D477" s="41" t="s">
        <v>2837</v>
      </c>
      <c r="E477" s="101" t="s">
        <v>22</v>
      </c>
      <c r="F477" s="101" t="s">
        <v>3261</v>
      </c>
      <c r="G477" s="41" t="s">
        <v>23</v>
      </c>
      <c r="H477" s="41">
        <v>1</v>
      </c>
      <c r="I477" s="117">
        <f>IFERROR(ROUND(L477*M477/10000,4),"")</f>
        <v>0.155</v>
      </c>
      <c r="J477" s="117">
        <f t="shared" ref="J477:J486" si="210">IFERROR(I477*H477,"")</f>
        <v>0.155</v>
      </c>
      <c r="K477" s="52"/>
      <c r="L477" s="53">
        <f t="shared" ref="L477:L494" si="211">L$2</f>
        <v>1</v>
      </c>
      <c r="M477" s="69">
        <f t="shared" ref="M477:M486" si="212">IFERROR(O477*N477,"")</f>
        <v>1550</v>
      </c>
      <c r="N477" s="55">
        <f>IFERROR(VLOOKUP(D477,元件库!$B:$O,10,FALSE),"1.00")</f>
        <v>1</v>
      </c>
      <c r="O477" s="337">
        <f>IFERROR(VLOOKUP(D477,元件库!$B:$O,11,FALSE),"")</f>
        <v>1550</v>
      </c>
      <c r="P477" s="57" t="str">
        <f t="shared" ref="P477:P486" si="213">IF(_xlfn.ISFORMULA(O477),"","值")</f>
        <v/>
      </c>
      <c r="Q477" s="90"/>
    </row>
    <row r="478" spans="1:17" s="23" customFormat="1" ht="16.5" customHeight="1" x14ac:dyDescent="0.2">
      <c r="A478" s="363">
        <f>COUNTIF(L$1:L478,"!")</f>
        <v>36</v>
      </c>
      <c r="B478" s="364" t="str">
        <f>A478&amp;"."&amp;COUNTIF(A$3:A478,A478)-1</f>
        <v>36.2</v>
      </c>
      <c r="C478" s="100" t="str">
        <f>IFERROR(VLOOKUP(D478,元件库!$B:$O,3,FALSE),"")</f>
        <v>刀开关</v>
      </c>
      <c r="D478" s="41" t="s">
        <v>2849</v>
      </c>
      <c r="E478" s="101" t="s">
        <v>22</v>
      </c>
      <c r="F478" s="101" t="s">
        <v>32</v>
      </c>
      <c r="G478" s="41" t="s">
        <v>29</v>
      </c>
      <c r="H478" s="41">
        <v>1</v>
      </c>
      <c r="I478" s="117">
        <f>IFERROR(ROUND(L478*M478/10000,4),"")</f>
        <v>1.9300000000000001E-2</v>
      </c>
      <c r="J478" s="117">
        <f t="shared" si="210"/>
        <v>1.9300000000000001E-2</v>
      </c>
      <c r="K478" s="52"/>
      <c r="L478" s="53">
        <f t="shared" si="211"/>
        <v>1</v>
      </c>
      <c r="M478" s="69">
        <f t="shared" si="212"/>
        <v>192.50000000000003</v>
      </c>
      <c r="N478" s="55">
        <f>IFERROR(VLOOKUP(D478,元件库!$B:$O,10,FALSE),"1.00")</f>
        <v>0.55000000000000004</v>
      </c>
      <c r="O478" s="337">
        <f>IFERROR(VLOOKUP(D478,元件库!$B:$O,11,FALSE),"")</f>
        <v>350</v>
      </c>
      <c r="P478" s="57" t="str">
        <f t="shared" si="213"/>
        <v/>
      </c>
      <c r="Q478" s="90"/>
    </row>
    <row r="479" spans="1:17" s="23" customFormat="1" ht="16.5" customHeight="1" x14ac:dyDescent="0.2">
      <c r="A479" s="363">
        <f>COUNTIF(L$1:L479,"!")</f>
        <v>36</v>
      </c>
      <c r="B479" s="364" t="str">
        <f>A479&amp;"."&amp;COUNTIF(A$3:A479,A479)-1</f>
        <v>36.3</v>
      </c>
      <c r="C479" s="100" t="str">
        <f>IFERROR(VLOOKUP(D479,元件库!$B:$O,3,FALSE),"")</f>
        <v/>
      </c>
      <c r="D479" s="41" t="s">
        <v>31</v>
      </c>
      <c r="E479" s="101" t="s">
        <v>22</v>
      </c>
      <c r="F479" s="101" t="s">
        <v>32</v>
      </c>
      <c r="G479" s="41" t="s">
        <v>29</v>
      </c>
      <c r="H479" s="41">
        <v>3</v>
      </c>
      <c r="I479" s="117" t="str">
        <f t="shared" ref="I479:I486" si="214">IFERROR(ROUND(L479*M479/10000,4),"")</f>
        <v/>
      </c>
      <c r="J479" s="117" t="str">
        <f t="shared" si="210"/>
        <v/>
      </c>
      <c r="K479" s="52"/>
      <c r="L479" s="53">
        <f t="shared" si="211"/>
        <v>1</v>
      </c>
      <c r="M479" s="69" t="str">
        <f t="shared" si="212"/>
        <v/>
      </c>
      <c r="N479" s="55" t="str">
        <f>IFERROR(VLOOKUP(D479,元件库!$B:$O,10,FALSE),"1.00")</f>
        <v>1.00</v>
      </c>
      <c r="O479" s="337" t="str">
        <f>IFERROR(VLOOKUP(D479,元件库!$B:$O,11,FALSE),"")</f>
        <v/>
      </c>
      <c r="P479" s="57" t="str">
        <f t="shared" si="213"/>
        <v/>
      </c>
      <c r="Q479" s="90"/>
    </row>
    <row r="480" spans="1:17" s="23" customFormat="1" ht="16.5" customHeight="1" x14ac:dyDescent="0.2">
      <c r="A480" s="363">
        <f>COUNTIF(L$1:L480,"!")</f>
        <v>36</v>
      </c>
      <c r="B480" s="364" t="str">
        <f>A480&amp;"."&amp;COUNTIF(A$3:A480,A480)-1</f>
        <v>36.4</v>
      </c>
      <c r="C480" s="100" t="str">
        <f>IFERROR(VLOOKUP(D480,元件库!$B:$O,3,FALSE),"")</f>
        <v>电流.电压表</v>
      </c>
      <c r="D480" s="41" t="s">
        <v>145</v>
      </c>
      <c r="E480" s="101" t="s">
        <v>22</v>
      </c>
      <c r="F480" s="101" t="s">
        <v>32</v>
      </c>
      <c r="G480" s="41" t="s">
        <v>29</v>
      </c>
      <c r="H480" s="41">
        <v>3</v>
      </c>
      <c r="I480" s="117">
        <f t="shared" si="214"/>
        <v>1.4E-3</v>
      </c>
      <c r="J480" s="117">
        <f t="shared" si="210"/>
        <v>4.1999999999999997E-3</v>
      </c>
      <c r="K480" s="52"/>
      <c r="L480" s="53">
        <f t="shared" si="211"/>
        <v>1</v>
      </c>
      <c r="M480" s="69">
        <f t="shared" si="212"/>
        <v>13.750000000000002</v>
      </c>
      <c r="N480" s="55">
        <f>IFERROR(VLOOKUP(D480,元件库!$B:$O,10,FALSE),"1.00")</f>
        <v>0.55000000000000004</v>
      </c>
      <c r="O480" s="337">
        <f>IFERROR(VLOOKUP(D480,元件库!$B:$O,11,FALSE),"")</f>
        <v>25</v>
      </c>
      <c r="P480" s="57" t="str">
        <f t="shared" si="213"/>
        <v/>
      </c>
      <c r="Q480" s="90"/>
    </row>
    <row r="481" spans="1:17" s="23" customFormat="1" ht="16.5" customHeight="1" x14ac:dyDescent="0.2">
      <c r="A481" s="363">
        <f>COUNTIF(L$1:L481,"!")</f>
        <v>36</v>
      </c>
      <c r="B481" s="364" t="str">
        <f>A481&amp;"."&amp;COUNTIF(A$3:A481,A481)-1</f>
        <v>36.5</v>
      </c>
      <c r="C481" s="100" t="str">
        <f>IFERROR(VLOOKUP(D481,元件库!$B:$O,3,FALSE),"")</f>
        <v>电流.电压表</v>
      </c>
      <c r="D481" s="41" t="s">
        <v>150</v>
      </c>
      <c r="E481" s="101" t="s">
        <v>22</v>
      </c>
      <c r="F481" s="101" t="s">
        <v>32</v>
      </c>
      <c r="G481" s="41" t="s">
        <v>29</v>
      </c>
      <c r="H481" s="41">
        <v>1</v>
      </c>
      <c r="I481" s="117">
        <f t="shared" si="214"/>
        <v>1.4E-3</v>
      </c>
      <c r="J481" s="117">
        <f t="shared" si="210"/>
        <v>1.4E-3</v>
      </c>
      <c r="K481" s="52"/>
      <c r="L481" s="53">
        <f t="shared" si="211"/>
        <v>1</v>
      </c>
      <c r="M481" s="69">
        <f t="shared" si="212"/>
        <v>13.750000000000002</v>
      </c>
      <c r="N481" s="55">
        <f>IFERROR(VLOOKUP(D481,元件库!$B:$O,10,FALSE),"1.00")</f>
        <v>0.55000000000000004</v>
      </c>
      <c r="O481" s="337">
        <f>IFERROR(VLOOKUP(D481,元件库!$B:$O,11,FALSE),"")</f>
        <v>25</v>
      </c>
      <c r="P481" s="57" t="str">
        <f t="shared" si="213"/>
        <v/>
      </c>
    </row>
    <row r="482" spans="1:17" s="23" customFormat="1" ht="16.5" customHeight="1" x14ac:dyDescent="0.2">
      <c r="A482" s="363">
        <f>COUNTIF(L$1:L482,"!")</f>
        <v>36</v>
      </c>
      <c r="B482" s="364" t="str">
        <f>A482&amp;"."&amp;COUNTIF(A$3:A482,A482)-1</f>
        <v>36.6</v>
      </c>
      <c r="C482" s="100" t="str">
        <f>IFERROR(VLOOKUP(D482,元件库!$B:$O,3,FALSE),"")</f>
        <v/>
      </c>
      <c r="D482" s="41" t="s">
        <v>2830</v>
      </c>
      <c r="E482" s="101" t="s">
        <v>22</v>
      </c>
      <c r="F482" s="101" t="s">
        <v>32</v>
      </c>
      <c r="G482" s="41" t="s">
        <v>29</v>
      </c>
      <c r="H482" s="41">
        <v>1</v>
      </c>
      <c r="I482" s="117" t="str">
        <f t="shared" si="214"/>
        <v/>
      </c>
      <c r="J482" s="117" t="str">
        <f t="shared" si="210"/>
        <v/>
      </c>
      <c r="K482" s="52"/>
      <c r="L482" s="53">
        <f t="shared" si="211"/>
        <v>1</v>
      </c>
      <c r="M482" s="69" t="str">
        <f t="shared" si="212"/>
        <v/>
      </c>
      <c r="N482" s="55" t="str">
        <f>IFERROR(VLOOKUP(D482,元件库!$B:$O,10,FALSE),"1.00")</f>
        <v>1.00</v>
      </c>
      <c r="O482" s="337" t="str">
        <f>IFERROR(VLOOKUP(D482,元件库!$B:$O,11,FALSE),"")</f>
        <v/>
      </c>
      <c r="P482" s="57" t="str">
        <f t="shared" si="213"/>
        <v/>
      </c>
    </row>
    <row r="483" spans="1:17" s="23" customFormat="1" ht="16.5" customHeight="1" x14ac:dyDescent="0.2">
      <c r="A483" s="363">
        <f>COUNTIF(L$1:L483,"!")</f>
        <v>36</v>
      </c>
      <c r="B483" s="364" t="str">
        <f>A483&amp;"."&amp;COUNTIF(A$3:A483,A483)-1</f>
        <v>36.7</v>
      </c>
      <c r="C483" s="100" t="str">
        <f>IFERROR(VLOOKUP(D483,元件库!$B:$O,3,FALSE),"")</f>
        <v>智能电容器</v>
      </c>
      <c r="D483" s="41" t="s">
        <v>3004</v>
      </c>
      <c r="E483" s="101" t="s">
        <v>22</v>
      </c>
      <c r="F483" s="101" t="s">
        <v>1467</v>
      </c>
      <c r="G483" s="41" t="s">
        <v>29</v>
      </c>
      <c r="H483" s="41">
        <v>6</v>
      </c>
      <c r="I483" s="117">
        <f t="shared" si="214"/>
        <v>5.3999999999999999E-2</v>
      </c>
      <c r="J483" s="117">
        <f t="shared" si="210"/>
        <v>0.32400000000000001</v>
      </c>
      <c r="K483" s="52"/>
      <c r="L483" s="53">
        <f t="shared" si="211"/>
        <v>1</v>
      </c>
      <c r="M483" s="69">
        <f t="shared" si="212"/>
        <v>540</v>
      </c>
      <c r="N483" s="55">
        <f>IFERROR(VLOOKUP(D483,元件库!$B:$O,10,FALSE),"1.00")</f>
        <v>1</v>
      </c>
      <c r="O483" s="337">
        <f>IFERROR(VLOOKUP(D483,元件库!$B:$O,11,FALSE),"")</f>
        <v>540</v>
      </c>
      <c r="P483" s="57" t="str">
        <f t="shared" si="213"/>
        <v/>
      </c>
    </row>
    <row r="484" spans="1:17" s="23" customFormat="1" ht="16.5" customHeight="1" x14ac:dyDescent="0.2">
      <c r="A484" s="363">
        <f>COUNTIF(L$1:L484,"!")</f>
        <v>36</v>
      </c>
      <c r="B484" s="364" t="str">
        <f>A484&amp;"."&amp;COUNTIF(A$3:A484,A484)-1</f>
        <v>36.8</v>
      </c>
      <c r="C484" s="100" t="str">
        <f>IFERROR(VLOOKUP(D484,元件库!$B:$O,3,FALSE),"")</f>
        <v>智能电容器</v>
      </c>
      <c r="D484" s="41" t="s">
        <v>2982</v>
      </c>
      <c r="E484" s="101" t="s">
        <v>22</v>
      </c>
      <c r="F484" s="101" t="s">
        <v>1467</v>
      </c>
      <c r="G484" s="41" t="s">
        <v>29</v>
      </c>
      <c r="H484" s="41">
        <v>8</v>
      </c>
      <c r="I484" s="117">
        <f t="shared" si="214"/>
        <v>5.3999999999999999E-2</v>
      </c>
      <c r="J484" s="117">
        <f t="shared" si="210"/>
        <v>0.432</v>
      </c>
      <c r="K484" s="52"/>
      <c r="L484" s="53">
        <f t="shared" si="211"/>
        <v>1</v>
      </c>
      <c r="M484" s="69">
        <f t="shared" si="212"/>
        <v>540</v>
      </c>
      <c r="N484" s="55">
        <f>IFERROR(VLOOKUP(D484,元件库!$B:$O,10,FALSE),"1.00")</f>
        <v>1</v>
      </c>
      <c r="O484" s="337">
        <f>IFERROR(VLOOKUP(D484,元件库!$B:$O,11,FALSE),"")</f>
        <v>540</v>
      </c>
      <c r="P484" s="57" t="str">
        <f t="shared" si="213"/>
        <v/>
      </c>
    </row>
    <row r="485" spans="1:17" s="23" customFormat="1" ht="16.5" customHeight="1" x14ac:dyDescent="0.2">
      <c r="A485" s="363">
        <f>COUNTIF(L$1:L485,"!")</f>
        <v>36</v>
      </c>
      <c r="B485" s="364" t="str">
        <f>A485&amp;"."&amp;COUNTIF(A$3:A485,A485)-1</f>
        <v>36.9</v>
      </c>
      <c r="C485" s="100" t="str">
        <f>IFERROR(VLOOKUP(D485,元件库!$B:$O,3,FALSE),"")</f>
        <v>补偿控制器</v>
      </c>
      <c r="D485" s="41" t="s">
        <v>1481</v>
      </c>
      <c r="E485" s="101" t="s">
        <v>22</v>
      </c>
      <c r="F485" s="101" t="s">
        <v>1467</v>
      </c>
      <c r="G485" s="41" t="s">
        <v>29</v>
      </c>
      <c r="H485" s="41">
        <v>1</v>
      </c>
      <c r="I485" s="117">
        <f t="shared" si="214"/>
        <v>3.6999999999999998E-2</v>
      </c>
      <c r="J485" s="117">
        <f t="shared" si="210"/>
        <v>3.6999999999999998E-2</v>
      </c>
      <c r="K485" s="52"/>
      <c r="L485" s="53">
        <f t="shared" si="211"/>
        <v>1</v>
      </c>
      <c r="M485" s="69">
        <f t="shared" si="212"/>
        <v>370</v>
      </c>
      <c r="N485" s="55">
        <f>IFERROR(VLOOKUP(D485,元件库!$B:$O,10,FALSE),"1.00")</f>
        <v>1</v>
      </c>
      <c r="O485" s="337">
        <f>IFERROR(VLOOKUP(D485,元件库!$B:$O,11,FALSE),"")</f>
        <v>370</v>
      </c>
      <c r="P485" s="57" t="str">
        <f t="shared" si="213"/>
        <v/>
      </c>
    </row>
    <row r="486" spans="1:17" s="23" customFormat="1" ht="16.5" customHeight="1" x14ac:dyDescent="0.2">
      <c r="A486" s="363">
        <f>COUNTIF(L$1:L486,"!")</f>
        <v>36</v>
      </c>
      <c r="B486" s="364" t="str">
        <f>A486&amp;"."&amp;COUNTIF(A$3:A486,A486)-1</f>
        <v>36.10</v>
      </c>
      <c r="C486" s="100" t="str">
        <f>IFERROR(VLOOKUP(D486,元件库!$B:$O,3,FALSE),"")</f>
        <v>浪涌保护器</v>
      </c>
      <c r="D486" s="41" t="s">
        <v>1452</v>
      </c>
      <c r="E486" s="101" t="s">
        <v>22</v>
      </c>
      <c r="F486" s="101" t="s">
        <v>67</v>
      </c>
      <c r="G486" s="41" t="s">
        <v>29</v>
      </c>
      <c r="H486" s="41">
        <v>1</v>
      </c>
      <c r="I486" s="117">
        <f t="shared" si="214"/>
        <v>1.9E-2</v>
      </c>
      <c r="J486" s="117">
        <f t="shared" si="210"/>
        <v>1.9E-2</v>
      </c>
      <c r="K486" s="52"/>
      <c r="L486" s="53">
        <f t="shared" si="211"/>
        <v>1</v>
      </c>
      <c r="M486" s="69">
        <f t="shared" si="212"/>
        <v>190</v>
      </c>
      <c r="N486" s="55">
        <f>IFERROR(VLOOKUP(D486,元件库!$B:$O,10,FALSE),"1.00")</f>
        <v>1</v>
      </c>
      <c r="O486" s="337">
        <f>IFERROR(VLOOKUP(D486,元件库!$B:$O,11,FALSE),"")</f>
        <v>190</v>
      </c>
      <c r="P486" s="57" t="str">
        <f t="shared" si="213"/>
        <v/>
      </c>
    </row>
    <row r="487" spans="1:17" s="23" customFormat="1" ht="16.5" customHeight="1" x14ac:dyDescent="0.2">
      <c r="A487" s="363">
        <f>COUNTIF(L$1:L487,"!")</f>
        <v>36</v>
      </c>
      <c r="B487" s="364" t="str">
        <f>A487&amp;"."&amp;COUNTIF(A$3:A487,A487)-1</f>
        <v>36.11</v>
      </c>
      <c r="C487" s="100" t="str">
        <f>IFERROR(VLOOKUP(D487,元件库!$B:$O,3,FALSE),"")</f>
        <v/>
      </c>
      <c r="D487" s="41" t="s">
        <v>65</v>
      </c>
      <c r="E487" s="101" t="s">
        <v>22</v>
      </c>
      <c r="F487" s="101" t="s">
        <v>32</v>
      </c>
      <c r="G487" s="41" t="s">
        <v>29</v>
      </c>
      <c r="H487" s="41">
        <v>4</v>
      </c>
      <c r="I487" s="117" t="str">
        <f>IFERROR(ROUND(L487*M487/10000,4),"")</f>
        <v/>
      </c>
      <c r="J487" s="117" t="str">
        <f>IFERROR(I487*H487,"")</f>
        <v/>
      </c>
      <c r="K487" s="52"/>
      <c r="L487" s="53">
        <f t="shared" si="211"/>
        <v>1</v>
      </c>
      <c r="M487" s="69" t="str">
        <f>IFERROR(O487*N487,"")</f>
        <v/>
      </c>
      <c r="N487" s="55" t="str">
        <f>IFERROR(VLOOKUP(D487,元件库!$B:$O,10,FALSE),"1.00")</f>
        <v>1.00</v>
      </c>
      <c r="O487" s="337" t="str">
        <f>IFERROR(VLOOKUP(D487,元件库!$B:$O,11,FALSE),"")</f>
        <v/>
      </c>
      <c r="P487" s="57" t="str">
        <f>IF(_xlfn.ISFORMULA(O487),"","值")</f>
        <v/>
      </c>
    </row>
    <row r="488" spans="1:17" s="23" customFormat="1" ht="16.5" customHeight="1" x14ac:dyDescent="0.2">
      <c r="A488" s="363">
        <f>COUNTIF(L$1:L488,"!")</f>
        <v>36</v>
      </c>
      <c r="B488" s="364" t="str">
        <f>A488&amp;"."&amp;COUNTIF(A$3:A488,A488)-1</f>
        <v>36.12</v>
      </c>
      <c r="C488" s="100" t="str">
        <f>IFERROR(VLOOKUP(D488,元件库!$B:$O,3,FALSE),"")</f>
        <v/>
      </c>
      <c r="D488" s="41" t="s">
        <v>2832</v>
      </c>
      <c r="E488" s="101" t="s">
        <v>22</v>
      </c>
      <c r="F488" s="101" t="s">
        <v>32</v>
      </c>
      <c r="G488" s="41" t="s">
        <v>29</v>
      </c>
      <c r="H488" s="41">
        <v>18</v>
      </c>
      <c r="I488" s="117" t="str">
        <f>IFERROR(ROUND(L488*M488/10000,4),"")</f>
        <v/>
      </c>
      <c r="J488" s="117" t="str">
        <f>IFERROR(I488*H488,"")</f>
        <v/>
      </c>
      <c r="K488" s="52"/>
      <c r="L488" s="53">
        <f t="shared" si="211"/>
        <v>1</v>
      </c>
      <c r="M488" s="69" t="str">
        <f>IFERROR(O488*N488,"")</f>
        <v/>
      </c>
      <c r="N488" s="55" t="str">
        <f>IFERROR(VLOOKUP(D488,元件库!$B:$O,10,FALSE),"1.00")</f>
        <v>1.00</v>
      </c>
      <c r="O488" s="337" t="str">
        <f>IFERROR(VLOOKUP(D488,元件库!$B:$O,11,FALSE),"")</f>
        <v/>
      </c>
      <c r="P488" s="57" t="str">
        <f>IF(_xlfn.ISFORMULA(O488),"","值")</f>
        <v/>
      </c>
    </row>
    <row r="489" spans="1:17" s="23" customFormat="1" ht="16.5" customHeight="1" x14ac:dyDescent="0.2">
      <c r="A489" s="363">
        <f>COUNTIF(L$1:L489,"!")</f>
        <v>36</v>
      </c>
      <c r="B489" s="364" t="str">
        <f>A489&amp;"."&amp;COUNTIF(A$3:A489,A489)-1</f>
        <v>36.13</v>
      </c>
      <c r="C489" s="100" t="str">
        <f>IFERROR(VLOOKUP(D489,元件库!$B:$O,3,FALSE),"")</f>
        <v>指示灯</v>
      </c>
      <c r="D489" s="41" t="s">
        <v>35</v>
      </c>
      <c r="E489" s="101" t="s">
        <v>22</v>
      </c>
      <c r="F489" s="101" t="s">
        <v>32</v>
      </c>
      <c r="G489" s="41" t="s">
        <v>29</v>
      </c>
      <c r="H489" s="41">
        <v>14</v>
      </c>
      <c r="I489" s="117">
        <f>IFERROR(ROUND(L489*M489/10000,4),"")</f>
        <v>2.0000000000000001E-4</v>
      </c>
      <c r="J489" s="117">
        <f>IFERROR(I489*H489,"")</f>
        <v>2.8E-3</v>
      </c>
      <c r="K489" s="52"/>
      <c r="L489" s="53">
        <f t="shared" si="211"/>
        <v>1</v>
      </c>
      <c r="M489" s="69">
        <f>IFERROR(O489*N489,"")</f>
        <v>2.3100000000000005</v>
      </c>
      <c r="N489" s="55">
        <f>IFERROR(VLOOKUP(D489,元件库!$B:$O,10,FALSE),"1.00")</f>
        <v>0.55000000000000004</v>
      </c>
      <c r="O489" s="337">
        <f>IFERROR(VLOOKUP(D489,元件库!$B:$O,11,FALSE),"")</f>
        <v>4.2</v>
      </c>
      <c r="P489" s="57" t="str">
        <f>IF(_xlfn.ISFORMULA(O489),"","值")</f>
        <v/>
      </c>
    </row>
    <row r="490" spans="1:17" s="23" customFormat="1" ht="16.5" customHeight="1" x14ac:dyDescent="0.2">
      <c r="A490" s="363">
        <f>COUNTIF(L$1:L490,"!")</f>
        <v>36</v>
      </c>
      <c r="B490" s="364" t="str">
        <f>A490&amp;"."&amp;COUNTIF(A$3:A490,A490)-1</f>
        <v>36.14</v>
      </c>
      <c r="C490" s="100" t="str">
        <f>IFERROR(VLOOKUP(D490,元件库!$B:$O,3,FALSE),"")</f>
        <v>铜排</v>
      </c>
      <c r="D490" s="41" t="s">
        <v>2852</v>
      </c>
      <c r="E490" s="101" t="s">
        <v>37</v>
      </c>
      <c r="F490" s="101" t="s">
        <v>38</v>
      </c>
      <c r="G490" s="41" t="s">
        <v>39</v>
      </c>
      <c r="H490" s="41">
        <v>6</v>
      </c>
      <c r="I490" s="117">
        <f t="shared" ref="I490:I494" si="215">IFERROR(ROUND(L490*M490/10000,4),"")</f>
        <v>8.0999999999999996E-3</v>
      </c>
      <c r="J490" s="117">
        <f t="shared" ref="J490:J494" si="216">IFERROR(I490*H490,"")</f>
        <v>4.8599999999999997E-2</v>
      </c>
      <c r="K490" s="52"/>
      <c r="L490" s="53">
        <f t="shared" si="211"/>
        <v>1</v>
      </c>
      <c r="M490" s="69">
        <f t="shared" ref="M490:M494" si="217">IFERROR(O490*N490,"")</f>
        <v>81.167999999999992</v>
      </c>
      <c r="N490" s="55">
        <f>IFERROR(VLOOKUP(D490,元件库!$B:$O,10,FALSE),"1.00")</f>
        <v>1</v>
      </c>
      <c r="O490" s="337">
        <f>IFERROR(VLOOKUP(D490,元件库!$B:$O,11,FALSE),"")</f>
        <v>81.167999999999992</v>
      </c>
      <c r="P490" s="57" t="str">
        <f t="shared" ref="P490:P494" si="218">IF(_xlfn.ISFORMULA(O490),"","值")</f>
        <v/>
      </c>
    </row>
    <row r="491" spans="1:17" s="23" customFormat="1" ht="16.5" customHeight="1" x14ac:dyDescent="0.2">
      <c r="A491" s="363">
        <f>COUNTIF(L$1:L491,"!")</f>
        <v>36</v>
      </c>
      <c r="B491" s="364" t="str">
        <f>A491&amp;"."&amp;COUNTIF(A$3:A491,A491)-1</f>
        <v>36.15</v>
      </c>
      <c r="C491" s="100" t="s">
        <v>42</v>
      </c>
      <c r="D491" s="41" t="s">
        <v>2816</v>
      </c>
      <c r="E491" s="101" t="s">
        <v>37</v>
      </c>
      <c r="F491" s="101" t="s">
        <v>38</v>
      </c>
      <c r="G491" s="41" t="s">
        <v>39</v>
      </c>
      <c r="H491" s="41">
        <v>2.4</v>
      </c>
      <c r="I491" s="117">
        <f t="shared" si="215"/>
        <v>4.0599999999999997E-2</v>
      </c>
      <c r="J491" s="117">
        <f t="shared" si="216"/>
        <v>9.7439999999999985E-2</v>
      </c>
      <c r="K491" s="52"/>
      <c r="L491" s="53">
        <f t="shared" si="211"/>
        <v>1</v>
      </c>
      <c r="M491" s="69">
        <f t="shared" si="217"/>
        <v>405.84</v>
      </c>
      <c r="N491" s="55">
        <f>IFERROR(VLOOKUP(D491,元件库!$B:$O,10,FALSE),"1.00")</f>
        <v>1</v>
      </c>
      <c r="O491" s="337">
        <f>IFERROR(VLOOKUP(D491,元件库!$B:$O,11,FALSE),"")</f>
        <v>405.84</v>
      </c>
      <c r="P491" s="57" t="str">
        <f t="shared" si="218"/>
        <v/>
      </c>
    </row>
    <row r="492" spans="1:17" s="23" customFormat="1" ht="16.5" customHeight="1" x14ac:dyDescent="0.2">
      <c r="A492" s="363">
        <f>COUNTIF(L$1:L492,"!")</f>
        <v>36</v>
      </c>
      <c r="B492" s="364" t="str">
        <f>A492&amp;"."&amp;COUNTIF(A$3:A492,A492)-1</f>
        <v>36.16</v>
      </c>
      <c r="C492" s="100" t="s">
        <v>44</v>
      </c>
      <c r="D492" s="41" t="s">
        <v>2816</v>
      </c>
      <c r="E492" s="101" t="s">
        <v>37</v>
      </c>
      <c r="F492" s="101" t="s">
        <v>38</v>
      </c>
      <c r="G492" s="41" t="s">
        <v>39</v>
      </c>
      <c r="H492" s="41">
        <v>0.8</v>
      </c>
      <c r="I492" s="117">
        <f t="shared" si="215"/>
        <v>4.0599999999999997E-2</v>
      </c>
      <c r="J492" s="117">
        <f t="shared" si="216"/>
        <v>3.2480000000000002E-2</v>
      </c>
      <c r="K492" s="52"/>
      <c r="L492" s="53">
        <f t="shared" si="211"/>
        <v>1</v>
      </c>
      <c r="M492" s="69">
        <f t="shared" si="217"/>
        <v>405.84</v>
      </c>
      <c r="N492" s="55">
        <f>IFERROR(VLOOKUP(D492,元件库!$B:$O,10,FALSE),"1.00")</f>
        <v>1</v>
      </c>
      <c r="O492" s="337">
        <f>IFERROR(VLOOKUP(D492,元件库!$B:$O,11,FALSE),"")</f>
        <v>405.84</v>
      </c>
      <c r="P492" s="57" t="str">
        <f t="shared" si="218"/>
        <v/>
      </c>
    </row>
    <row r="493" spans="1:17" s="23" customFormat="1" ht="16.5" customHeight="1" x14ac:dyDescent="0.2">
      <c r="A493" s="363">
        <f>COUNTIF(L$1:L493,"!")</f>
        <v>36</v>
      </c>
      <c r="B493" s="364" t="str">
        <f>A493&amp;"."&amp;COUNTIF(A$3:A493,A493)-1</f>
        <v>36.17</v>
      </c>
      <c r="C493" s="100" t="s">
        <v>45</v>
      </c>
      <c r="D493" s="41" t="s">
        <v>2833</v>
      </c>
      <c r="E493" s="101" t="s">
        <v>37</v>
      </c>
      <c r="F493" s="101" t="s">
        <v>38</v>
      </c>
      <c r="G493" s="41" t="s">
        <v>39</v>
      </c>
      <c r="H493" s="41">
        <v>0.8</v>
      </c>
      <c r="I493" s="117">
        <f t="shared" si="215"/>
        <v>1.83E-2</v>
      </c>
      <c r="J493" s="117">
        <f t="shared" si="216"/>
        <v>1.464E-2</v>
      </c>
      <c r="K493" s="52"/>
      <c r="L493" s="53">
        <f t="shared" si="211"/>
        <v>1</v>
      </c>
      <c r="M493" s="69">
        <f t="shared" si="217"/>
        <v>182.62799999999999</v>
      </c>
      <c r="N493" s="55">
        <f>IFERROR(VLOOKUP(D493,元件库!$B:$O,10,FALSE),"1.00")</f>
        <v>1</v>
      </c>
      <c r="O493" s="337">
        <f>IFERROR(VLOOKUP(D493,元件库!$B:$O,11,FALSE),"")</f>
        <v>182.62799999999999</v>
      </c>
      <c r="P493" s="57" t="str">
        <f t="shared" si="218"/>
        <v/>
      </c>
    </row>
    <row r="494" spans="1:17" s="23" customFormat="1" ht="16.5" customHeight="1" x14ac:dyDescent="0.2">
      <c r="A494" s="363">
        <f>COUNTIF(L$1:L494,"!")</f>
        <v>36</v>
      </c>
      <c r="B494" s="364" t="str">
        <f>A494&amp;"."&amp;COUNTIF(A$3:A494,A494)-1</f>
        <v>36.18</v>
      </c>
      <c r="C494" s="100" t="s">
        <v>51</v>
      </c>
      <c r="D494" s="41"/>
      <c r="E494" s="101"/>
      <c r="F494" s="101"/>
      <c r="G494" s="41" t="s">
        <v>2812</v>
      </c>
      <c r="H494" s="41">
        <v>1</v>
      </c>
      <c r="I494" s="117">
        <f t="shared" si="215"/>
        <v>0.13</v>
      </c>
      <c r="J494" s="117">
        <f t="shared" si="216"/>
        <v>0.13</v>
      </c>
      <c r="K494" s="52"/>
      <c r="L494" s="53">
        <f t="shared" si="211"/>
        <v>1</v>
      </c>
      <c r="M494" s="69">
        <f t="shared" si="217"/>
        <v>1300</v>
      </c>
      <c r="N494" s="55">
        <v>1</v>
      </c>
      <c r="O494" s="337">
        <v>1300</v>
      </c>
      <c r="P494" s="57" t="str">
        <f t="shared" si="218"/>
        <v>值</v>
      </c>
    </row>
    <row r="495" spans="1:17" s="23" customFormat="1" ht="27" customHeight="1" x14ac:dyDescent="0.2">
      <c r="A495" s="363">
        <f>COUNTIF(L$1:L495,"!")</f>
        <v>36</v>
      </c>
      <c r="B495" s="364" t="str">
        <f>A495&amp;"."&amp;COUNTIF(A$3:A495,A495)-1</f>
        <v>36.19</v>
      </c>
      <c r="C495" s="103" t="s">
        <v>53</v>
      </c>
      <c r="D495" s="104"/>
      <c r="E495" s="365"/>
      <c r="F495" s="101"/>
      <c r="G495" s="104"/>
      <c r="H495" s="104" t="s">
        <v>1</v>
      </c>
      <c r="I495" s="118" t="s">
        <v>52</v>
      </c>
      <c r="J495" s="366"/>
      <c r="K495" s="104"/>
      <c r="L495" s="53"/>
      <c r="M495" s="119"/>
      <c r="N495" s="70"/>
      <c r="O495" s="337"/>
    </row>
    <row r="496" spans="1:17" s="30" customFormat="1" ht="27" customHeight="1" x14ac:dyDescent="0.2">
      <c r="A496" s="363">
        <f>COUNTIF(L$1:L496,"!")</f>
        <v>36</v>
      </c>
      <c r="B496" s="364" t="str">
        <f>A496&amp;"."&amp;COUNTIF(A$3:A496,A496)-1</f>
        <v>36.20</v>
      </c>
      <c r="C496" s="103" t="s">
        <v>54</v>
      </c>
      <c r="D496" s="104"/>
      <c r="E496" s="365"/>
      <c r="F496" s="101"/>
      <c r="G496" s="104"/>
      <c r="H496" s="104"/>
      <c r="I496" s="118" t="s">
        <v>1</v>
      </c>
      <c r="J496" s="120">
        <f>SUM(J477:J495)</f>
        <v>1.31786</v>
      </c>
      <c r="K496" s="104"/>
      <c r="L496" s="53"/>
      <c r="M496" s="119"/>
      <c r="N496" s="70"/>
      <c r="O496" s="337"/>
      <c r="Q496" s="90"/>
    </row>
    <row r="497" spans="1:19" s="23" customFormat="1" ht="16.5" customHeight="1" x14ac:dyDescent="0.15">
      <c r="A497" s="97">
        <f>COUNTIF(L$1:L497,"!")</f>
        <v>37</v>
      </c>
      <c r="B497" s="32" t="str">
        <f>COUNTIF(L$2:L497,"!")&amp;"."</f>
        <v>37.</v>
      </c>
      <c r="C497" s="47" t="s">
        <v>2853</v>
      </c>
      <c r="D497" s="35" t="s">
        <v>2854</v>
      </c>
      <c r="E497" s="367" t="s">
        <v>22</v>
      </c>
      <c r="F497" s="367" t="s">
        <v>3261</v>
      </c>
      <c r="G497" s="34" t="s">
        <v>23</v>
      </c>
      <c r="H497" s="98">
        <v>1</v>
      </c>
      <c r="I497" s="115">
        <f>LOOKUP(0,0/((A497:A518=A497)*(C497:C518="合计金额（单位完整货物单价）")),J497:J518)</f>
        <v>3.0379999999999998</v>
      </c>
      <c r="J497" s="116">
        <f>IFERROR(I497*H497,"")</f>
        <v>3.0379999999999998</v>
      </c>
      <c r="K497" s="34"/>
      <c r="L497" s="48" t="s">
        <v>24</v>
      </c>
      <c r="M497" s="49"/>
      <c r="N497" s="50"/>
      <c r="O497" s="51"/>
      <c r="Q497" s="360">
        <f>COUNTIF(L$3:L497,"#")</f>
        <v>5</v>
      </c>
    </row>
    <row r="498" spans="1:19" s="23" customFormat="1" ht="16.5" customHeight="1" x14ac:dyDescent="0.2">
      <c r="A498" s="363">
        <f>COUNTIF(L$1:L498,"!")</f>
        <v>37</v>
      </c>
      <c r="B498" s="364" t="str">
        <f>A498&amp;"."&amp;COUNTIF(A$3:A498,A498)-1</f>
        <v>37.1</v>
      </c>
      <c r="C498" s="100" t="s">
        <v>2855</v>
      </c>
      <c r="D498" s="41" t="s">
        <v>3005</v>
      </c>
      <c r="E498" s="101" t="s">
        <v>2821</v>
      </c>
      <c r="F498" s="100" t="s">
        <v>3261</v>
      </c>
      <c r="G498" s="100" t="str">
        <f>G497</f>
        <v>台</v>
      </c>
      <c r="H498" s="41">
        <v>1</v>
      </c>
      <c r="I498" s="117">
        <f t="shared" ref="I498:I499" si="219">IFERROR(ROUND(L498*M498/10000,4),"")</f>
        <v>2.8079999999999998</v>
      </c>
      <c r="J498" s="117">
        <f t="shared" ref="J498:J499" si="220">IFERROR(I498*H498,"")</f>
        <v>2.8079999999999998</v>
      </c>
      <c r="K498" s="52"/>
      <c r="L498" s="53">
        <f t="shared" ref="L498:L499" si="221">L$2</f>
        <v>1</v>
      </c>
      <c r="M498" s="69">
        <f t="shared" ref="M498:M499" si="222">IFERROR(O498*N498,"")</f>
        <v>28080</v>
      </c>
      <c r="N498" s="55">
        <v>1</v>
      </c>
      <c r="O498" s="337">
        <f>R498*S498</f>
        <v>28080</v>
      </c>
      <c r="P498" s="57" t="str">
        <f t="shared" ref="P498:P499" si="223">IF(_xlfn.ISFORMULA(O498),"","值")</f>
        <v/>
      </c>
      <c r="Q498" s="30" t="s">
        <v>2854</v>
      </c>
      <c r="R498" s="30">
        <v>3000</v>
      </c>
      <c r="S498" s="24">
        <f>(MID(D498,FIND(" ",D498)+1,FIND("*",D498)-FIND(" ",D498)-1)*MID(D498,FIND("*",D498)+1,FIND("*",MID(D498,FIND("*",D498)+1,30))-1))/1000000*IF(ROUND(RIGHT(D498,4),0)&gt;2650,1/2.65*2.95,1)</f>
        <v>9.36</v>
      </c>
    </row>
    <row r="499" spans="1:19" s="23" customFormat="1" ht="16.5" customHeight="1" x14ac:dyDescent="0.2">
      <c r="A499" s="363">
        <f>COUNTIF(L$1:L499,"!")</f>
        <v>37</v>
      </c>
      <c r="B499" s="364" t="str">
        <f>A499&amp;"."&amp;COUNTIF(A$3:A499,A499)-1</f>
        <v>37.2</v>
      </c>
      <c r="C499" s="100" t="s">
        <v>51</v>
      </c>
      <c r="D499" s="41"/>
      <c r="E499" s="101"/>
      <c r="F499" s="101"/>
      <c r="G499" s="41" t="s">
        <v>2812</v>
      </c>
      <c r="H499" s="41">
        <v>1</v>
      </c>
      <c r="I499" s="117">
        <f t="shared" si="219"/>
        <v>0.23</v>
      </c>
      <c r="J499" s="117">
        <f t="shared" si="220"/>
        <v>0.23</v>
      </c>
      <c r="K499" s="52"/>
      <c r="L499" s="53">
        <f t="shared" si="221"/>
        <v>1</v>
      </c>
      <c r="M499" s="69">
        <f t="shared" si="222"/>
        <v>2300</v>
      </c>
      <c r="N499" s="55">
        <v>1</v>
      </c>
      <c r="O499" s="56">
        <v>2300</v>
      </c>
      <c r="P499" s="57" t="str">
        <f t="shared" si="223"/>
        <v>值</v>
      </c>
    </row>
    <row r="500" spans="1:19" s="23" customFormat="1" ht="27" customHeight="1" x14ac:dyDescent="0.2">
      <c r="A500" s="363">
        <f>COUNTIF(L$1:L500,"!")</f>
        <v>37</v>
      </c>
      <c r="B500" s="364" t="str">
        <f>A500&amp;"."&amp;COUNTIF(A$3:A500,A500)-1</f>
        <v>37.3</v>
      </c>
      <c r="C500" s="103" t="s">
        <v>53</v>
      </c>
      <c r="D500" s="104"/>
      <c r="E500" s="365"/>
      <c r="F500" s="101"/>
      <c r="G500" s="104"/>
      <c r="H500" s="104" t="s">
        <v>1</v>
      </c>
      <c r="I500" s="118" t="s">
        <v>52</v>
      </c>
      <c r="J500" s="366"/>
      <c r="K500" s="104"/>
      <c r="L500" s="53"/>
      <c r="M500" s="119"/>
      <c r="N500" s="70"/>
      <c r="O500" s="337"/>
    </row>
    <row r="501" spans="1:19" s="30" customFormat="1" ht="27" customHeight="1" x14ac:dyDescent="0.2">
      <c r="A501" s="363">
        <f>COUNTIF(L$1:L501,"!")</f>
        <v>37</v>
      </c>
      <c r="B501" s="364" t="str">
        <f>A501&amp;"."&amp;COUNTIF(A$3:A501,A501)-1</f>
        <v>37.4</v>
      </c>
      <c r="C501" s="103" t="s">
        <v>54</v>
      </c>
      <c r="D501" s="104"/>
      <c r="E501" s="365"/>
      <c r="F501" s="101"/>
      <c r="G501" s="104"/>
      <c r="H501" s="104"/>
      <c r="I501" s="118" t="s">
        <v>1</v>
      </c>
      <c r="J501" s="120">
        <f>SUM(J498:J500)</f>
        <v>3.0379999999999998</v>
      </c>
      <c r="K501" s="104"/>
      <c r="L501" s="53"/>
      <c r="M501" s="119"/>
      <c r="N501" s="70"/>
      <c r="O501" s="337"/>
      <c r="Q501" s="90"/>
    </row>
    <row r="502" spans="1:19" s="30" customFormat="1" ht="16.5" customHeight="1" x14ac:dyDescent="0.2">
      <c r="A502" s="83" t="s">
        <v>2986</v>
      </c>
      <c r="B502" s="94" t="s">
        <v>8</v>
      </c>
      <c r="C502" s="94" t="s">
        <v>9</v>
      </c>
      <c r="D502" s="95" t="s">
        <v>10</v>
      </c>
      <c r="E502" s="95" t="s">
        <v>11</v>
      </c>
      <c r="F502" s="96" t="s">
        <v>12</v>
      </c>
      <c r="G502" s="94" t="s">
        <v>13</v>
      </c>
      <c r="H502" s="94" t="s">
        <v>14</v>
      </c>
      <c r="I502" s="110" t="s">
        <v>15</v>
      </c>
      <c r="J502" s="111" t="s">
        <v>16</v>
      </c>
      <c r="K502" s="112" t="s">
        <v>17</v>
      </c>
      <c r="L502" s="113" t="s">
        <v>18</v>
      </c>
      <c r="M502" s="114" t="s">
        <v>19</v>
      </c>
      <c r="N502" s="114" t="s">
        <v>20</v>
      </c>
      <c r="O502" s="114" t="s">
        <v>21</v>
      </c>
      <c r="P502" s="349"/>
      <c r="Q502" s="90"/>
    </row>
    <row r="503" spans="1:19" ht="16.5" customHeight="1" x14ac:dyDescent="0.2">
      <c r="A503" s="83" t="s">
        <v>2768</v>
      </c>
      <c r="B503" s="350">
        <f>COUNTIF(L$1:L503,"#")</f>
        <v>6</v>
      </c>
      <c r="C503" s="351" t="s">
        <v>2987</v>
      </c>
      <c r="D503" s="352" t="s">
        <v>3006</v>
      </c>
      <c r="E503" s="353" t="s">
        <v>22</v>
      </c>
      <c r="F503" s="353" t="s">
        <v>3261</v>
      </c>
      <c r="G503" s="353" t="s">
        <v>23</v>
      </c>
      <c r="H503" s="353">
        <v>1</v>
      </c>
      <c r="I503" s="354">
        <f>SUMIF(Q504:Q918,B503,J504:J918)</f>
        <v>25.445680000000003</v>
      </c>
      <c r="J503" s="355">
        <f>IFERROR(I503*H503,"")</f>
        <v>25.445680000000003</v>
      </c>
      <c r="K503" s="356" t="s">
        <v>2989</v>
      </c>
      <c r="L503" s="357" t="s">
        <v>2772</v>
      </c>
      <c r="M503" s="358"/>
      <c r="N503" s="358"/>
      <c r="O503" s="358"/>
      <c r="P503" s="359"/>
      <c r="Q503" s="360"/>
      <c r="R503" s="30"/>
    </row>
    <row r="504" spans="1:19" ht="16.5" customHeight="1" x14ac:dyDescent="0.15">
      <c r="A504" s="97">
        <f>COUNTIF(L$1:L504,"!")</f>
        <v>38</v>
      </c>
      <c r="B504" s="32" t="str">
        <f>COUNTIF(L$2:L505,"!")&amp;"."</f>
        <v>38.</v>
      </c>
      <c r="C504" s="47" t="s">
        <v>2773</v>
      </c>
      <c r="D504" s="35" t="s">
        <v>3007</v>
      </c>
      <c r="E504" s="99" t="s">
        <v>22</v>
      </c>
      <c r="F504" s="99" t="s">
        <v>3261</v>
      </c>
      <c r="G504" s="34" t="s">
        <v>23</v>
      </c>
      <c r="H504" s="98">
        <v>1</v>
      </c>
      <c r="I504" s="115">
        <f>LOOKUP(0,0/((A504:A593=A504)*(C504:C593="合计金额（单位完整货物单价）")),J504:J593)</f>
        <v>11.120000000000001</v>
      </c>
      <c r="J504" s="116">
        <f>IFERROR(I504*H504,"")</f>
        <v>11.120000000000001</v>
      </c>
      <c r="K504" s="34"/>
      <c r="L504" s="48" t="s">
        <v>24</v>
      </c>
      <c r="M504" s="49"/>
      <c r="N504" s="50"/>
      <c r="O504" s="362"/>
      <c r="P504" s="23"/>
      <c r="Q504" s="360">
        <f>COUNTIF(L$3:L504,"#")</f>
        <v>6</v>
      </c>
      <c r="R504" s="23"/>
    </row>
    <row r="505" spans="1:19" ht="16.5" customHeight="1" x14ac:dyDescent="0.2">
      <c r="A505" s="363">
        <f>COUNTIF(L$1:L505,"!")</f>
        <v>38</v>
      </c>
      <c r="B505" s="364" t="str">
        <f>A505&amp;"."&amp;COUNTIF(A$3:A505,A505)-1</f>
        <v>38.1</v>
      </c>
      <c r="C505" s="100" t="s">
        <v>2937</v>
      </c>
      <c r="D505" s="41" t="s">
        <v>2938</v>
      </c>
      <c r="E505" s="101" t="s">
        <v>22</v>
      </c>
      <c r="F505" s="101" t="s">
        <v>2991</v>
      </c>
      <c r="G505" s="41" t="s">
        <v>23</v>
      </c>
      <c r="H505" s="41">
        <v>1</v>
      </c>
      <c r="I505" s="117">
        <f>IFERROR(ROUND(L505*M505/10000,4),"")</f>
        <v>1.5</v>
      </c>
      <c r="J505" s="117">
        <f t="shared" ref="J505:J522" si="224">IFERROR(I505*H505,"")</f>
        <v>1.5</v>
      </c>
      <c r="K505" s="52"/>
      <c r="L505" s="53">
        <f t="shared" ref="L505:L522" si="225">L$2</f>
        <v>1</v>
      </c>
      <c r="M505" s="69">
        <f t="shared" ref="M505:M522" si="226">IFERROR(O505*N505,"")</f>
        <v>15000</v>
      </c>
      <c r="N505" s="55">
        <v>1</v>
      </c>
      <c r="O505" s="337">
        <v>15000</v>
      </c>
      <c r="P505" s="57" t="str">
        <f t="shared" ref="P505:P522" si="227">IF(_xlfn.ISFORMULA(O505),"","值")</f>
        <v>值</v>
      </c>
      <c r="Q505" s="90"/>
      <c r="R505" s="23"/>
    </row>
    <row r="506" spans="1:19" ht="16.5" customHeight="1" x14ac:dyDescent="0.2">
      <c r="A506" s="363">
        <f>COUNTIF(L$1:L506,"!")</f>
        <v>38</v>
      </c>
      <c r="B506" s="364" t="str">
        <f>A506&amp;"."&amp;COUNTIF(A$3:A506,A506)-1</f>
        <v>38.2</v>
      </c>
      <c r="C506" s="100" t="s">
        <v>2937</v>
      </c>
      <c r="D506" s="41" t="s">
        <v>2940</v>
      </c>
      <c r="E506" s="101" t="s">
        <v>22</v>
      </c>
      <c r="F506" s="101" t="s">
        <v>2943</v>
      </c>
      <c r="G506" s="41" t="s">
        <v>23</v>
      </c>
      <c r="H506" s="41">
        <v>1</v>
      </c>
      <c r="I506" s="117">
        <f t="shared" ref="I506:I522" si="228">IFERROR(ROUND(L506*M506/10000,4),"")</f>
        <v>1.4125000000000001</v>
      </c>
      <c r="J506" s="117">
        <f t="shared" si="224"/>
        <v>1.4125000000000001</v>
      </c>
      <c r="K506" s="52"/>
      <c r="L506" s="53">
        <f t="shared" si="225"/>
        <v>1</v>
      </c>
      <c r="M506" s="69">
        <f t="shared" si="226"/>
        <v>14125</v>
      </c>
      <c r="N506" s="55">
        <v>1</v>
      </c>
      <c r="O506" s="337">
        <v>14125</v>
      </c>
      <c r="P506" s="57" t="str">
        <f t="shared" si="227"/>
        <v>值</v>
      </c>
      <c r="Q506" s="90"/>
      <c r="R506" s="23"/>
    </row>
    <row r="507" spans="1:19" ht="16.5" customHeight="1" x14ac:dyDescent="0.2">
      <c r="A507" s="363">
        <f>COUNTIF(L$1:L507,"!")</f>
        <v>38</v>
      </c>
      <c r="B507" s="364" t="str">
        <f>A507&amp;"."&amp;COUNTIF(A$3:A507,A507)-1</f>
        <v>38.3</v>
      </c>
      <c r="C507" s="100" t="s">
        <v>2937</v>
      </c>
      <c r="D507" s="41" t="s">
        <v>2941</v>
      </c>
      <c r="E507" s="101" t="s">
        <v>22</v>
      </c>
      <c r="F507" s="101" t="s">
        <v>2943</v>
      </c>
      <c r="G507" s="41" t="s">
        <v>23</v>
      </c>
      <c r="H507" s="41">
        <v>1</v>
      </c>
      <c r="I507" s="117">
        <f t="shared" si="228"/>
        <v>1.4125000000000001</v>
      </c>
      <c r="J507" s="117">
        <f t="shared" si="224"/>
        <v>1.4125000000000001</v>
      </c>
      <c r="K507" s="52"/>
      <c r="L507" s="53">
        <f t="shared" si="225"/>
        <v>1</v>
      </c>
      <c r="M507" s="69">
        <f t="shared" si="226"/>
        <v>14125</v>
      </c>
      <c r="N507" s="55">
        <v>1</v>
      </c>
      <c r="O507" s="337">
        <v>14125</v>
      </c>
      <c r="P507" s="57" t="str">
        <f t="shared" si="227"/>
        <v>值</v>
      </c>
      <c r="Q507" s="23"/>
      <c r="R507" s="23"/>
    </row>
    <row r="508" spans="1:19" ht="16.5" customHeight="1" x14ac:dyDescent="0.2">
      <c r="A508" s="363">
        <f>COUNTIF(L$1:L508,"!")</f>
        <v>38</v>
      </c>
      <c r="B508" s="364" t="str">
        <f>A508&amp;"."&amp;COUNTIF(A$3:A508,A508)-1</f>
        <v>38.4</v>
      </c>
      <c r="C508" s="100" t="s">
        <v>2937</v>
      </c>
      <c r="D508" s="41" t="s">
        <v>2942</v>
      </c>
      <c r="E508" s="101" t="s">
        <v>22</v>
      </c>
      <c r="F508" s="101" t="s">
        <v>2991</v>
      </c>
      <c r="G508" s="41" t="s">
        <v>23</v>
      </c>
      <c r="H508" s="41">
        <v>1</v>
      </c>
      <c r="I508" s="117">
        <f t="shared" si="228"/>
        <v>1.7749999999999999</v>
      </c>
      <c r="J508" s="117">
        <f t="shared" si="224"/>
        <v>1.7749999999999999</v>
      </c>
      <c r="K508" s="52"/>
      <c r="L508" s="53">
        <f t="shared" si="225"/>
        <v>1</v>
      </c>
      <c r="M508" s="69">
        <f t="shared" si="226"/>
        <v>17750</v>
      </c>
      <c r="N508" s="55">
        <v>1</v>
      </c>
      <c r="O508" s="337">
        <v>17750</v>
      </c>
      <c r="P508" s="57" t="str">
        <f t="shared" si="227"/>
        <v>值</v>
      </c>
      <c r="Q508" s="23"/>
      <c r="R508" s="23"/>
    </row>
    <row r="509" spans="1:19" ht="16.5" customHeight="1" x14ac:dyDescent="0.2">
      <c r="A509" s="363">
        <f>COUNTIF(L$1:L509,"!")</f>
        <v>38</v>
      </c>
      <c r="B509" s="364" t="str">
        <f>A509&amp;"."&amp;COUNTIF(A$3:A509,A509)-1</f>
        <v>38.5</v>
      </c>
      <c r="C509" s="100" t="s">
        <v>61</v>
      </c>
      <c r="D509" s="41" t="s">
        <v>2781</v>
      </c>
      <c r="E509" s="101" t="s">
        <v>3008</v>
      </c>
      <c r="F509" s="101" t="s">
        <v>2993</v>
      </c>
      <c r="G509" s="41" t="s">
        <v>29</v>
      </c>
      <c r="H509" s="41">
        <v>9</v>
      </c>
      <c r="I509" s="117">
        <f t="shared" si="228"/>
        <v>0.03</v>
      </c>
      <c r="J509" s="117">
        <f t="shared" si="224"/>
        <v>0.27</v>
      </c>
      <c r="K509" s="52"/>
      <c r="L509" s="53">
        <f t="shared" si="225"/>
        <v>1</v>
      </c>
      <c r="M509" s="69">
        <f t="shared" si="226"/>
        <v>300</v>
      </c>
      <c r="N509" s="55">
        <v>1</v>
      </c>
      <c r="O509" s="337">
        <v>300</v>
      </c>
      <c r="P509" s="57" t="str">
        <f t="shared" si="227"/>
        <v>值</v>
      </c>
      <c r="Q509" s="23"/>
      <c r="R509" s="23"/>
    </row>
    <row r="510" spans="1:19" ht="16.5" customHeight="1" x14ac:dyDescent="0.2">
      <c r="A510" s="363">
        <f>COUNTIF(L$1:L510,"!")</f>
        <v>38</v>
      </c>
      <c r="B510" s="364" t="str">
        <f>A510&amp;"."&amp;COUNTIF(A$3:A510,A510)-1</f>
        <v>38.6</v>
      </c>
      <c r="C510" s="100" t="s">
        <v>111</v>
      </c>
      <c r="D510" s="41" t="s">
        <v>2946</v>
      </c>
      <c r="E510" s="101" t="s">
        <v>2992</v>
      </c>
      <c r="F510" s="101" t="s">
        <v>3009</v>
      </c>
      <c r="G510" s="41" t="s">
        <v>29</v>
      </c>
      <c r="H510" s="41">
        <v>1</v>
      </c>
      <c r="I510" s="117">
        <f t="shared" si="228"/>
        <v>0.38750000000000001</v>
      </c>
      <c r="J510" s="117">
        <f t="shared" si="224"/>
        <v>0.38750000000000001</v>
      </c>
      <c r="K510" s="52"/>
      <c r="L510" s="53">
        <f t="shared" si="225"/>
        <v>1</v>
      </c>
      <c r="M510" s="69">
        <f t="shared" si="226"/>
        <v>3875</v>
      </c>
      <c r="N510" s="55">
        <v>1</v>
      </c>
      <c r="O510" s="337">
        <v>3875</v>
      </c>
      <c r="P510" s="57" t="str">
        <f t="shared" si="227"/>
        <v>值</v>
      </c>
      <c r="Q510" s="23"/>
      <c r="R510" s="23"/>
    </row>
    <row r="511" spans="1:19" ht="16.5" customHeight="1" x14ac:dyDescent="0.2">
      <c r="A511" s="363">
        <f>COUNTIF(L$1:L511,"!")</f>
        <v>38</v>
      </c>
      <c r="B511" s="364" t="str">
        <f>A511&amp;"."&amp;COUNTIF(A$3:A511,A511)-1</f>
        <v>38.7</v>
      </c>
      <c r="C511" s="100" t="s">
        <v>160</v>
      </c>
      <c r="D511" s="102" t="s">
        <v>161</v>
      </c>
      <c r="E511" s="101" t="s">
        <v>2994</v>
      </c>
      <c r="F511" s="101" t="s">
        <v>2995</v>
      </c>
      <c r="G511" s="41" t="s">
        <v>48</v>
      </c>
      <c r="H511" s="41">
        <v>3</v>
      </c>
      <c r="I511" s="117">
        <f t="shared" si="228"/>
        <v>1.4999999999999999E-2</v>
      </c>
      <c r="J511" s="117">
        <f t="shared" si="224"/>
        <v>4.4999999999999998E-2</v>
      </c>
      <c r="K511" s="52"/>
      <c r="L511" s="53">
        <f t="shared" si="225"/>
        <v>1</v>
      </c>
      <c r="M511" s="69">
        <f t="shared" si="226"/>
        <v>150</v>
      </c>
      <c r="N511" s="55">
        <v>1</v>
      </c>
      <c r="O511" s="337">
        <v>150</v>
      </c>
      <c r="P511" s="57" t="str">
        <f t="shared" si="227"/>
        <v>值</v>
      </c>
      <c r="Q511" s="23"/>
      <c r="R511" s="23"/>
    </row>
    <row r="512" spans="1:19" ht="16.5" customHeight="1" x14ac:dyDescent="0.2">
      <c r="A512" s="363">
        <f>COUNTIF(L$1:L512,"!")</f>
        <v>38</v>
      </c>
      <c r="B512" s="364" t="str">
        <f>A512&amp;"."&amp;COUNTIF(A$3:A512,A512)-1</f>
        <v>38.8</v>
      </c>
      <c r="C512" s="100" t="s">
        <v>2787</v>
      </c>
      <c r="D512" s="41" t="s">
        <v>2788</v>
      </c>
      <c r="E512" s="101" t="s">
        <v>2994</v>
      </c>
      <c r="F512" s="101" t="s">
        <v>2996</v>
      </c>
      <c r="G512" s="41" t="s">
        <v>134</v>
      </c>
      <c r="H512" s="41">
        <v>3</v>
      </c>
      <c r="I512" s="117">
        <f t="shared" si="228"/>
        <v>0.05</v>
      </c>
      <c r="J512" s="117">
        <f t="shared" si="224"/>
        <v>0.15000000000000002</v>
      </c>
      <c r="K512" s="52"/>
      <c r="L512" s="53">
        <f t="shared" si="225"/>
        <v>1</v>
      </c>
      <c r="M512" s="69">
        <f t="shared" si="226"/>
        <v>500</v>
      </c>
      <c r="N512" s="55">
        <v>1</v>
      </c>
      <c r="O512" s="337">
        <v>500</v>
      </c>
      <c r="P512" s="57" t="str">
        <f t="shared" si="227"/>
        <v>值</v>
      </c>
      <c r="Q512" s="90"/>
      <c r="R512" s="23"/>
    </row>
    <row r="513" spans="1:18" ht="16.5" customHeight="1" x14ac:dyDescent="0.2">
      <c r="A513" s="363">
        <f>COUNTIF(L$1:L513,"!")</f>
        <v>38</v>
      </c>
      <c r="B513" s="364" t="str">
        <f>A513&amp;"."&amp;COUNTIF(A$3:A513,A513)-1</f>
        <v>38.9</v>
      </c>
      <c r="C513" s="100" t="s">
        <v>162</v>
      </c>
      <c r="D513" s="41" t="s">
        <v>2791</v>
      </c>
      <c r="E513" s="101" t="s">
        <v>2994</v>
      </c>
      <c r="F513" s="101" t="s">
        <v>2996</v>
      </c>
      <c r="G513" s="41" t="s">
        <v>134</v>
      </c>
      <c r="H513" s="41">
        <v>4</v>
      </c>
      <c r="I513" s="117">
        <f t="shared" si="228"/>
        <v>7.7499999999999999E-2</v>
      </c>
      <c r="J513" s="117">
        <f t="shared" si="224"/>
        <v>0.31</v>
      </c>
      <c r="K513" s="52"/>
      <c r="L513" s="53">
        <f t="shared" si="225"/>
        <v>1</v>
      </c>
      <c r="M513" s="69">
        <f t="shared" si="226"/>
        <v>775</v>
      </c>
      <c r="N513" s="55">
        <v>1</v>
      </c>
      <c r="O513" s="337">
        <v>775</v>
      </c>
      <c r="P513" s="57" t="str">
        <f t="shared" si="227"/>
        <v>值</v>
      </c>
      <c r="Q513" s="23"/>
      <c r="R513" s="23"/>
    </row>
    <row r="514" spans="1:18" ht="16.5" customHeight="1" x14ac:dyDescent="0.2">
      <c r="A514" s="363">
        <f>COUNTIF(L$1:L514,"!")</f>
        <v>38</v>
      </c>
      <c r="B514" s="364" t="str">
        <f>A514&amp;"."&amp;COUNTIF(A$3:A514,A514)-1</f>
        <v>38.10</v>
      </c>
      <c r="C514" s="100" t="s">
        <v>2950</v>
      </c>
      <c r="D514" s="41" t="s">
        <v>2951</v>
      </c>
      <c r="E514" s="101" t="s">
        <v>2994</v>
      </c>
      <c r="F514" s="101" t="s">
        <v>2996</v>
      </c>
      <c r="G514" s="41" t="s">
        <v>48</v>
      </c>
      <c r="H514" s="41">
        <v>3</v>
      </c>
      <c r="I514" s="117">
        <f t="shared" si="228"/>
        <v>0.23749999999999999</v>
      </c>
      <c r="J514" s="117">
        <f t="shared" si="224"/>
        <v>0.71249999999999991</v>
      </c>
      <c r="K514" s="52"/>
      <c r="L514" s="53">
        <f t="shared" si="225"/>
        <v>1</v>
      </c>
      <c r="M514" s="69">
        <f t="shared" si="226"/>
        <v>2375</v>
      </c>
      <c r="N514" s="55">
        <v>1</v>
      </c>
      <c r="O514" s="337">
        <v>2375</v>
      </c>
      <c r="P514" s="57" t="str">
        <f t="shared" si="227"/>
        <v>值</v>
      </c>
      <c r="Q514" s="90"/>
      <c r="R514" s="23"/>
    </row>
    <row r="515" spans="1:18" ht="16.5" customHeight="1" x14ac:dyDescent="0.2">
      <c r="A515" s="363">
        <f>COUNTIF(L$1:L515,"!")</f>
        <v>38</v>
      </c>
      <c r="B515" s="364" t="str">
        <f>A515&amp;"."&amp;COUNTIF(A$3:A515,A515)-1</f>
        <v>38.11</v>
      </c>
      <c r="C515" s="100" t="s">
        <v>2795</v>
      </c>
      <c r="D515" s="41" t="s">
        <v>2796</v>
      </c>
      <c r="E515" s="101" t="s">
        <v>3010</v>
      </c>
      <c r="F515" s="101" t="s">
        <v>3011</v>
      </c>
      <c r="G515" s="41" t="s">
        <v>23</v>
      </c>
      <c r="H515" s="41">
        <v>1</v>
      </c>
      <c r="I515" s="117">
        <f t="shared" si="228"/>
        <v>0.15</v>
      </c>
      <c r="J515" s="117">
        <f t="shared" si="224"/>
        <v>0.15</v>
      </c>
      <c r="K515" s="52"/>
      <c r="L515" s="53">
        <f t="shared" si="225"/>
        <v>1</v>
      </c>
      <c r="M515" s="69">
        <f t="shared" si="226"/>
        <v>1500</v>
      </c>
      <c r="N515" s="55">
        <v>1</v>
      </c>
      <c r="O515" s="337">
        <v>1500</v>
      </c>
      <c r="P515" s="57" t="str">
        <f t="shared" si="227"/>
        <v>值</v>
      </c>
      <c r="Q515" s="23"/>
      <c r="R515" s="23"/>
    </row>
    <row r="516" spans="1:18" ht="16.5" customHeight="1" x14ac:dyDescent="0.2">
      <c r="A516" s="363">
        <f>COUNTIF(L$1:L516,"!")</f>
        <v>38</v>
      </c>
      <c r="B516" s="364" t="str">
        <f>A516&amp;"."&amp;COUNTIF(A$3:A516,A516)-1</f>
        <v>38.12</v>
      </c>
      <c r="C516" s="100" t="s">
        <v>130</v>
      </c>
      <c r="D516" s="41" t="s">
        <v>2955</v>
      </c>
      <c r="E516" s="101" t="s">
        <v>3010</v>
      </c>
      <c r="F516" s="101" t="s">
        <v>3011</v>
      </c>
      <c r="G516" s="41" t="s">
        <v>23</v>
      </c>
      <c r="H516" s="41">
        <v>1</v>
      </c>
      <c r="I516" s="117">
        <f t="shared" si="228"/>
        <v>8.7499999999999994E-2</v>
      </c>
      <c r="J516" s="117">
        <f t="shared" si="224"/>
        <v>8.7499999999999994E-2</v>
      </c>
      <c r="K516" s="52"/>
      <c r="L516" s="53">
        <f t="shared" si="225"/>
        <v>1</v>
      </c>
      <c r="M516" s="69">
        <f t="shared" si="226"/>
        <v>875</v>
      </c>
      <c r="N516" s="55">
        <v>1</v>
      </c>
      <c r="O516" s="337">
        <v>875</v>
      </c>
      <c r="P516" s="57" t="str">
        <f t="shared" si="227"/>
        <v>值</v>
      </c>
      <c r="Q516" s="23"/>
      <c r="R516" s="23"/>
    </row>
    <row r="517" spans="1:18" ht="16.5" customHeight="1" x14ac:dyDescent="0.2">
      <c r="A517" s="363">
        <f>COUNTIF(L$1:L517,"!")</f>
        <v>38</v>
      </c>
      <c r="B517" s="364" t="str">
        <f>A517&amp;"."&amp;COUNTIF(A$3:A517,A517)-1</f>
        <v>38.13</v>
      </c>
      <c r="C517" s="100" t="s">
        <v>2802</v>
      </c>
      <c r="D517" s="41" t="s">
        <v>2803</v>
      </c>
      <c r="E517" s="101" t="s">
        <v>22</v>
      </c>
      <c r="F517" s="101" t="s">
        <v>2869</v>
      </c>
      <c r="G517" s="41" t="s">
        <v>48</v>
      </c>
      <c r="H517" s="41">
        <v>4</v>
      </c>
      <c r="I517" s="117">
        <f t="shared" si="228"/>
        <v>1.2500000000000001E-2</v>
      </c>
      <c r="J517" s="117">
        <f t="shared" si="224"/>
        <v>0.05</v>
      </c>
      <c r="K517" s="52"/>
      <c r="L517" s="53">
        <f t="shared" si="225"/>
        <v>1</v>
      </c>
      <c r="M517" s="69">
        <f t="shared" si="226"/>
        <v>125</v>
      </c>
      <c r="N517" s="55">
        <v>1</v>
      </c>
      <c r="O517" s="337">
        <v>125</v>
      </c>
      <c r="P517" s="57" t="str">
        <f t="shared" si="227"/>
        <v>值</v>
      </c>
      <c r="Q517" s="23"/>
      <c r="R517" s="23"/>
    </row>
    <row r="518" spans="1:18" ht="16.5" customHeight="1" x14ac:dyDescent="0.2">
      <c r="A518" s="363">
        <f>COUNTIF(L$1:L518,"!")</f>
        <v>38</v>
      </c>
      <c r="B518" s="364" t="str">
        <f>A518&amp;"."&amp;COUNTIF(A$3:A518,A518)-1</f>
        <v>38.14</v>
      </c>
      <c r="C518" s="100" t="s">
        <v>97</v>
      </c>
      <c r="D518" s="41"/>
      <c r="E518" s="101" t="s">
        <v>22</v>
      </c>
      <c r="F518" s="101" t="s">
        <v>2869</v>
      </c>
      <c r="G518" s="41" t="s">
        <v>2806</v>
      </c>
      <c r="H518" s="41">
        <v>1</v>
      </c>
      <c r="I518" s="117">
        <f t="shared" si="228"/>
        <v>6.3E-3</v>
      </c>
      <c r="J518" s="117">
        <f t="shared" si="224"/>
        <v>6.3E-3</v>
      </c>
      <c r="K518" s="52"/>
      <c r="L518" s="53">
        <f t="shared" si="225"/>
        <v>1</v>
      </c>
      <c r="M518" s="69">
        <f t="shared" si="226"/>
        <v>63</v>
      </c>
      <c r="N518" s="55">
        <v>1</v>
      </c>
      <c r="O518" s="337">
        <v>63</v>
      </c>
      <c r="P518" s="57" t="str">
        <f t="shared" si="227"/>
        <v>值</v>
      </c>
      <c r="Q518" s="23"/>
      <c r="R518" s="23"/>
    </row>
    <row r="519" spans="1:18" ht="16.5" customHeight="1" x14ac:dyDescent="0.2">
      <c r="A519" s="363">
        <f>COUNTIF(L$1:L519,"!")</f>
        <v>38</v>
      </c>
      <c r="B519" s="364" t="str">
        <f>A519&amp;"."&amp;COUNTIF(A$3:A519,A519)-1</f>
        <v>38.15</v>
      </c>
      <c r="C519" s="100" t="s">
        <v>2957</v>
      </c>
      <c r="D519" s="102"/>
      <c r="E519" s="101" t="s">
        <v>2785</v>
      </c>
      <c r="F519" s="101" t="s">
        <v>2811</v>
      </c>
      <c r="G519" s="41" t="s">
        <v>48</v>
      </c>
      <c r="H519" s="41">
        <v>1</v>
      </c>
      <c r="I519" s="117">
        <f t="shared" si="228"/>
        <v>2.5068000000000001</v>
      </c>
      <c r="J519" s="117">
        <f t="shared" si="224"/>
        <v>2.5068000000000001</v>
      </c>
      <c r="K519" s="52"/>
      <c r="L519" s="53">
        <f t="shared" si="225"/>
        <v>1</v>
      </c>
      <c r="M519" s="69">
        <f t="shared" si="226"/>
        <v>25068</v>
      </c>
      <c r="N519" s="55">
        <v>1</v>
      </c>
      <c r="O519" s="337">
        <v>25068</v>
      </c>
      <c r="P519" s="57" t="str">
        <f t="shared" si="227"/>
        <v>值</v>
      </c>
      <c r="Q519" s="23"/>
      <c r="R519" s="23"/>
    </row>
    <row r="520" spans="1:18" ht="16.5" customHeight="1" x14ac:dyDescent="0.2">
      <c r="A520" s="363">
        <f>COUNTIF(L$1:L520,"!")</f>
        <v>38</v>
      </c>
      <c r="B520" s="364" t="str">
        <f>A520&amp;"."&amp;COUNTIF(A$3:A520,A520)-1</f>
        <v>38.16</v>
      </c>
      <c r="C520" s="100" t="s">
        <v>2959</v>
      </c>
      <c r="D520" s="41" t="s">
        <v>2960</v>
      </c>
      <c r="E520" s="101" t="s">
        <v>2997</v>
      </c>
      <c r="F520" s="101" t="s">
        <v>3012</v>
      </c>
      <c r="G520" s="41" t="s">
        <v>48</v>
      </c>
      <c r="H520" s="41">
        <v>1</v>
      </c>
      <c r="I520" s="117">
        <f t="shared" si="228"/>
        <v>3.1899999999999998E-2</v>
      </c>
      <c r="J520" s="117">
        <f t="shared" si="224"/>
        <v>3.1899999999999998E-2</v>
      </c>
      <c r="K520" s="52"/>
      <c r="L520" s="53">
        <f t="shared" si="225"/>
        <v>1</v>
      </c>
      <c r="M520" s="69">
        <f t="shared" si="226"/>
        <v>319</v>
      </c>
      <c r="N520" s="55">
        <v>1</v>
      </c>
      <c r="O520" s="337">
        <v>319</v>
      </c>
      <c r="P520" s="57" t="str">
        <f t="shared" si="227"/>
        <v>值</v>
      </c>
      <c r="Q520" s="90"/>
      <c r="R520" s="23"/>
    </row>
    <row r="521" spans="1:18" ht="16.5" customHeight="1" x14ac:dyDescent="0.2">
      <c r="A521" s="363">
        <f>COUNTIF(L$1:L521,"!")</f>
        <v>38</v>
      </c>
      <c r="B521" s="364" t="str">
        <f>A521&amp;"."&amp;COUNTIF(A$3:A521,A521)-1</f>
        <v>38.17</v>
      </c>
      <c r="C521" s="100" t="s">
        <v>2959</v>
      </c>
      <c r="D521" s="41" t="s">
        <v>2963</v>
      </c>
      <c r="E521" s="101" t="s">
        <v>2997</v>
      </c>
      <c r="F521" s="101" t="s">
        <v>3012</v>
      </c>
      <c r="G521" s="41" t="s">
        <v>48</v>
      </c>
      <c r="H521" s="41">
        <v>1</v>
      </c>
      <c r="I521" s="117">
        <f t="shared" si="228"/>
        <v>1.2500000000000001E-2</v>
      </c>
      <c r="J521" s="117">
        <f t="shared" si="224"/>
        <v>1.2500000000000001E-2</v>
      </c>
      <c r="K521" s="52"/>
      <c r="L521" s="53">
        <f t="shared" si="225"/>
        <v>1</v>
      </c>
      <c r="M521" s="69">
        <f t="shared" si="226"/>
        <v>125</v>
      </c>
      <c r="N521" s="55">
        <v>1</v>
      </c>
      <c r="O521" s="337">
        <v>125</v>
      </c>
      <c r="P521" s="57" t="str">
        <f t="shared" si="227"/>
        <v>值</v>
      </c>
      <c r="Q521" s="23"/>
      <c r="R521" s="23"/>
    </row>
    <row r="522" spans="1:18" ht="16.5" customHeight="1" x14ac:dyDescent="0.2">
      <c r="A522" s="363">
        <f>COUNTIF(L$1:L522,"!")</f>
        <v>38</v>
      </c>
      <c r="B522" s="364" t="str">
        <f>A522&amp;"."&amp;COUNTIF(A$3:A522,A522)-1</f>
        <v>38.18</v>
      </c>
      <c r="C522" s="100" t="s">
        <v>51</v>
      </c>
      <c r="D522" s="41"/>
      <c r="E522" s="101"/>
      <c r="F522" s="101"/>
      <c r="G522" s="41" t="s">
        <v>2812</v>
      </c>
      <c r="H522" s="41">
        <v>1</v>
      </c>
      <c r="I522" s="117">
        <f t="shared" si="228"/>
        <v>0.3</v>
      </c>
      <c r="J522" s="117">
        <f t="shared" si="224"/>
        <v>0.3</v>
      </c>
      <c r="K522" s="52"/>
      <c r="L522" s="53">
        <f t="shared" si="225"/>
        <v>1</v>
      </c>
      <c r="M522" s="69">
        <f t="shared" si="226"/>
        <v>3000</v>
      </c>
      <c r="N522" s="55">
        <v>1</v>
      </c>
      <c r="O522" s="337">
        <v>3000</v>
      </c>
      <c r="P522" s="57" t="str">
        <f t="shared" si="227"/>
        <v>值</v>
      </c>
      <c r="Q522" s="23"/>
      <c r="R522" s="23"/>
    </row>
    <row r="523" spans="1:18" ht="27" customHeight="1" x14ac:dyDescent="0.2">
      <c r="A523" s="363">
        <f>COUNTIF(L$1:L523,"!")</f>
        <v>38</v>
      </c>
      <c r="B523" s="364" t="str">
        <f>A523&amp;"."&amp;COUNTIF(A$3:A523,A523)-1</f>
        <v>38.19</v>
      </c>
      <c r="C523" s="103" t="s">
        <v>53</v>
      </c>
      <c r="D523" s="104"/>
      <c r="E523" s="365"/>
      <c r="F523" s="101"/>
      <c r="G523" s="104"/>
      <c r="H523" s="104" t="s">
        <v>1</v>
      </c>
      <c r="I523" s="118" t="s">
        <v>52</v>
      </c>
      <c r="J523" s="366"/>
      <c r="K523" s="104"/>
      <c r="L523" s="53"/>
      <c r="M523" s="119"/>
      <c r="N523" s="70"/>
      <c r="O523" s="337"/>
      <c r="P523" s="23"/>
      <c r="Q523" s="23"/>
      <c r="R523" s="23"/>
    </row>
    <row r="524" spans="1:18" ht="27" customHeight="1" x14ac:dyDescent="0.2">
      <c r="A524" s="363">
        <f>COUNTIF(L$1:L524,"!")</f>
        <v>38</v>
      </c>
      <c r="B524" s="364" t="str">
        <f>A524&amp;"."&amp;COUNTIF(A$3:A524,A524)-1</f>
        <v>38.20</v>
      </c>
      <c r="C524" s="103" t="s">
        <v>54</v>
      </c>
      <c r="D524" s="104"/>
      <c r="E524" s="365"/>
      <c r="F524" s="101"/>
      <c r="G524" s="104"/>
      <c r="H524" s="104"/>
      <c r="I524" s="118" t="s">
        <v>1</v>
      </c>
      <c r="J524" s="120">
        <f>SUM(J505:J523)</f>
        <v>11.120000000000001</v>
      </c>
      <c r="K524" s="104"/>
      <c r="L524" s="53"/>
      <c r="M524" s="119"/>
      <c r="N524" s="70"/>
      <c r="O524" s="337"/>
      <c r="P524" s="30"/>
      <c r="Q524" s="90"/>
      <c r="R524" s="30"/>
    </row>
    <row r="525" spans="1:18" ht="16.5" customHeight="1" x14ac:dyDescent="0.15">
      <c r="A525" s="97">
        <f>COUNTIF(L$1:L525,"!")</f>
        <v>39</v>
      </c>
      <c r="B525" s="32" t="str">
        <f>COUNTIF(L$2:L526,"!")&amp;"."</f>
        <v>39.</v>
      </c>
      <c r="C525" s="47" t="str">
        <f>C526</f>
        <v>变压器</v>
      </c>
      <c r="D525" s="35" t="str">
        <f>D526</f>
        <v>S13-M-630KVA 全铜</v>
      </c>
      <c r="E525" s="99" t="str">
        <f>E526</f>
        <v>浙江</v>
      </c>
      <c r="F525" s="99" t="str">
        <f>F526</f>
        <v>弘乐电气有限公司</v>
      </c>
      <c r="G525" s="34" t="s">
        <v>23</v>
      </c>
      <c r="H525" s="98">
        <v>1</v>
      </c>
      <c r="I525" s="115">
        <f>LOOKUP(0,0/((A525:A604=A525)*(C525:C604="合计金额（单位完整货物单价）")),J525:J604)</f>
        <v>5.7149999999999999</v>
      </c>
      <c r="J525" s="116">
        <f>IFERROR(I525*H525,"")</f>
        <v>5.7149999999999999</v>
      </c>
      <c r="K525" s="34"/>
      <c r="L525" s="48" t="s">
        <v>24</v>
      </c>
      <c r="M525" s="49"/>
      <c r="N525" s="50"/>
      <c r="O525" s="362"/>
      <c r="P525" s="23"/>
      <c r="Q525" s="360">
        <f>COUNTIF(L$3:L525,"#")</f>
        <v>6</v>
      </c>
      <c r="R525" s="23"/>
    </row>
    <row r="526" spans="1:18" ht="16.5" customHeight="1" x14ac:dyDescent="0.2">
      <c r="A526" s="363">
        <f>COUNTIF(L$1:L526,"!")</f>
        <v>39</v>
      </c>
      <c r="B526" s="364" t="str">
        <f>A526&amp;"."&amp;COUNTIF(A$3:A526,A526)-1</f>
        <v>39.1</v>
      </c>
      <c r="C526" s="100" t="str">
        <f>IFERROR(VLOOKUP(D526,元件库!$B:$O,3,FALSE),"")</f>
        <v>变压器</v>
      </c>
      <c r="D526" s="41" t="s">
        <v>2813</v>
      </c>
      <c r="E526" s="101" t="s">
        <v>22</v>
      </c>
      <c r="F526" s="101" t="s">
        <v>2814</v>
      </c>
      <c r="G526" s="41" t="s">
        <v>23</v>
      </c>
      <c r="H526" s="41">
        <v>1</v>
      </c>
      <c r="I526" s="117">
        <f>IFERROR(ROUND(L526*M526/10000,4),"")</f>
        <v>5.64</v>
      </c>
      <c r="J526" s="117">
        <f t="shared" ref="J526:J527" si="229">IFERROR(I526*H526,"")</f>
        <v>5.64</v>
      </c>
      <c r="K526" s="52"/>
      <c r="L526" s="53">
        <f t="shared" ref="L526:L527" si="230">L$2</f>
        <v>1</v>
      </c>
      <c r="M526" s="69">
        <f t="shared" ref="M526:M527" si="231">IFERROR(O526*N526,"")</f>
        <v>56400</v>
      </c>
      <c r="N526" s="55">
        <f>IFERROR(VLOOKUP(D526,元件库!$B:$O,10,FALSE),"1.00")</f>
        <v>1</v>
      </c>
      <c r="O526" s="337">
        <f>IFERROR(VLOOKUP(D526,元件库!$B:$O,11,FALSE),"")</f>
        <v>56400</v>
      </c>
      <c r="P526" s="57" t="str">
        <f t="shared" ref="P526:P527" si="232">IF(_xlfn.ISFORMULA(O526),"","值")</f>
        <v/>
      </c>
      <c r="Q526" s="90"/>
      <c r="R526" s="23"/>
    </row>
    <row r="527" spans="1:18" ht="16.5" customHeight="1" x14ac:dyDescent="0.2">
      <c r="A527" s="363">
        <f>COUNTIF(L$1:L527,"!")</f>
        <v>39</v>
      </c>
      <c r="B527" s="364" t="str">
        <f>A527&amp;"."&amp;COUNTIF(A$3:A527,A527)-1</f>
        <v>39.2</v>
      </c>
      <c r="C527" s="100" t="s">
        <v>51</v>
      </c>
      <c r="D527" s="41"/>
      <c r="E527" s="101"/>
      <c r="F527" s="101"/>
      <c r="G527" s="41" t="s">
        <v>2812</v>
      </c>
      <c r="H527" s="41">
        <v>1</v>
      </c>
      <c r="I527" s="117">
        <f t="shared" ref="I527" si="233">IFERROR(ROUND(L527*M527/10000,4),"")</f>
        <v>7.4999999999999997E-2</v>
      </c>
      <c r="J527" s="117">
        <f t="shared" si="229"/>
        <v>7.4999999999999997E-2</v>
      </c>
      <c r="K527" s="52"/>
      <c r="L527" s="53">
        <f t="shared" si="230"/>
        <v>1</v>
      </c>
      <c r="M527" s="69">
        <f t="shared" si="231"/>
        <v>750</v>
      </c>
      <c r="N527" s="55">
        <v>1</v>
      </c>
      <c r="O527" s="337">
        <v>750</v>
      </c>
      <c r="P527" s="57" t="str">
        <f t="shared" si="232"/>
        <v>值</v>
      </c>
      <c r="Q527" s="23"/>
      <c r="R527" s="23"/>
    </row>
    <row r="528" spans="1:18" ht="27" customHeight="1" x14ac:dyDescent="0.2">
      <c r="A528" s="363">
        <f>COUNTIF(L$1:L528,"!")</f>
        <v>39</v>
      </c>
      <c r="B528" s="364" t="str">
        <f>A528&amp;"."&amp;COUNTIF(A$3:A528,A528)-1</f>
        <v>39.3</v>
      </c>
      <c r="C528" s="103" t="s">
        <v>53</v>
      </c>
      <c r="D528" s="104"/>
      <c r="E528" s="365"/>
      <c r="F528" s="101"/>
      <c r="G528" s="104"/>
      <c r="H528" s="104" t="s">
        <v>1</v>
      </c>
      <c r="I528" s="118" t="s">
        <v>52</v>
      </c>
      <c r="J528" s="366"/>
      <c r="K528" s="104"/>
      <c r="L528" s="53"/>
      <c r="M528" s="119"/>
      <c r="N528" s="70"/>
      <c r="O528" s="337"/>
      <c r="P528" s="23"/>
      <c r="Q528" s="23"/>
      <c r="R528" s="23"/>
    </row>
    <row r="529" spans="1:18" ht="27" customHeight="1" x14ac:dyDescent="0.2">
      <c r="A529" s="363">
        <f>COUNTIF(L$1:L529,"!")</f>
        <v>39</v>
      </c>
      <c r="B529" s="364" t="str">
        <f>A529&amp;"."&amp;COUNTIF(A$3:A529,A529)-1</f>
        <v>39.4</v>
      </c>
      <c r="C529" s="103" t="s">
        <v>54</v>
      </c>
      <c r="D529" s="104"/>
      <c r="E529" s="365"/>
      <c r="F529" s="101"/>
      <c r="G529" s="104"/>
      <c r="H529" s="104"/>
      <c r="I529" s="118" t="s">
        <v>1</v>
      </c>
      <c r="J529" s="120">
        <f>SUM(J526:J528)</f>
        <v>5.7149999999999999</v>
      </c>
      <c r="K529" s="104"/>
      <c r="L529" s="53"/>
      <c r="M529" s="119"/>
      <c r="N529" s="70"/>
      <c r="O529" s="337"/>
      <c r="P529" s="30"/>
      <c r="Q529" s="90"/>
      <c r="R529" s="30"/>
    </row>
    <row r="530" spans="1:18" ht="16.5" customHeight="1" x14ac:dyDescent="0.15">
      <c r="A530" s="97">
        <f>COUNTIF(L$1:L530,"!")</f>
        <v>40</v>
      </c>
      <c r="B530" s="32" t="str">
        <f>COUNTIF(L$2:L531,"!")&amp;"."</f>
        <v>40.</v>
      </c>
      <c r="C530" s="47" t="s">
        <v>2815</v>
      </c>
      <c r="D530" s="35"/>
      <c r="E530" s="367" t="s">
        <v>37</v>
      </c>
      <c r="F530" s="367" t="s">
        <v>38</v>
      </c>
      <c r="G530" s="34" t="s">
        <v>23</v>
      </c>
      <c r="H530" s="98">
        <v>1</v>
      </c>
      <c r="I530" s="115">
        <f>LOOKUP(0,0/((A530:A609=A530)*(C530:C609="合计金额（单位完整货物单价）")),J530:J609)</f>
        <v>0.55599999999999994</v>
      </c>
      <c r="J530" s="116">
        <f>IFERROR(I530*H530,"")</f>
        <v>0.55599999999999994</v>
      </c>
      <c r="K530" s="34"/>
      <c r="L530" s="48" t="s">
        <v>24</v>
      </c>
      <c r="M530" s="49"/>
      <c r="N530" s="50"/>
      <c r="O530" s="362"/>
      <c r="P530" s="23"/>
      <c r="Q530" s="360">
        <f>COUNTIF(L$3:L530,"#")</f>
        <v>6</v>
      </c>
      <c r="R530" s="23"/>
    </row>
    <row r="531" spans="1:18" s="23" customFormat="1" ht="16.5" customHeight="1" x14ac:dyDescent="0.2">
      <c r="A531" s="363">
        <f>COUNTIF(L$1:L531,"!")</f>
        <v>40</v>
      </c>
      <c r="B531" s="364" t="str">
        <f>A531&amp;"."&amp;COUNTIF(A$3:A531,A531)-1</f>
        <v>40.1</v>
      </c>
      <c r="C531" s="100" t="str">
        <f>IFERROR(VLOOKUP(D531,元件库!$B:$O,3,FALSE),"")</f>
        <v>铜排</v>
      </c>
      <c r="D531" s="41" t="s">
        <v>2816</v>
      </c>
      <c r="E531" s="101" t="s">
        <v>2817</v>
      </c>
      <c r="F531" s="101" t="s">
        <v>2818</v>
      </c>
      <c r="G531" s="41" t="s">
        <v>39</v>
      </c>
      <c r="H531" s="41">
        <v>10</v>
      </c>
      <c r="I531" s="117">
        <f>IFERROR(ROUND(L531*M531/10000,4),"")</f>
        <v>4.0599999999999997E-2</v>
      </c>
      <c r="J531" s="117">
        <f>IFERROR(I531*H531,"")</f>
        <v>0.40599999999999997</v>
      </c>
      <c r="K531" s="52"/>
      <c r="L531" s="53">
        <f t="shared" ref="L531:L533" si="234">L$2</f>
        <v>1</v>
      </c>
      <c r="M531" s="69">
        <f>IFERROR(O531*N531,"")</f>
        <v>405.84</v>
      </c>
      <c r="N531" s="55">
        <f>IFERROR(VLOOKUP(D531,元件库!$B:$O,10,FALSE),"1.00")</f>
        <v>1</v>
      </c>
      <c r="O531" s="337">
        <f>IFERROR(VLOOKUP(D531,元件库!$B:$O,11,FALSE),"")</f>
        <v>405.84</v>
      </c>
      <c r="P531" s="57" t="str">
        <f>IF(_xlfn.ISFORMULA(O531),"","值")</f>
        <v/>
      </c>
    </row>
    <row r="532" spans="1:18" s="23" customFormat="1" ht="16.5" customHeight="1" x14ac:dyDescent="0.2">
      <c r="A532" s="363">
        <f>COUNTIF(L$1:L532,"!")</f>
        <v>40</v>
      </c>
      <c r="B532" s="364" t="str">
        <f>A532&amp;"."&amp;COUNTIF(A$3:A532,A532)-1</f>
        <v>40.2</v>
      </c>
      <c r="C532" s="100" t="s">
        <v>2819</v>
      </c>
      <c r="D532" s="41" t="s">
        <v>2820</v>
      </c>
      <c r="E532" s="101" t="s">
        <v>2821</v>
      </c>
      <c r="F532" s="101" t="s">
        <v>2822</v>
      </c>
      <c r="G532" s="41" t="s">
        <v>3013</v>
      </c>
      <c r="H532" s="41">
        <v>1</v>
      </c>
      <c r="I532" s="117">
        <f>IFERROR(ROUND(L532*M532/10000,4),"")</f>
        <v>0.15</v>
      </c>
      <c r="J532" s="117">
        <f>IFERROR(I532*H532,"")</f>
        <v>0.15</v>
      </c>
      <c r="K532" s="52"/>
      <c r="L532" s="53">
        <f t="shared" si="234"/>
        <v>1</v>
      </c>
      <c r="M532" s="69">
        <f>IFERROR(O532*N532,"")</f>
        <v>1500</v>
      </c>
      <c r="N532" s="55" t="str">
        <f>IFERROR(VLOOKUP(D532,元件库!$B:$O,10,FALSE),"1.00")</f>
        <v>1.00</v>
      </c>
      <c r="O532" s="337">
        <v>1500</v>
      </c>
      <c r="P532" s="57" t="str">
        <f>IF(_xlfn.ISFORMULA(O532),"","值")</f>
        <v>值</v>
      </c>
    </row>
    <row r="533" spans="1:18" ht="16.5" customHeight="1" x14ac:dyDescent="0.2">
      <c r="A533" s="363">
        <f>COUNTIF(L$1:L533,"!")</f>
        <v>40</v>
      </c>
      <c r="B533" s="364" t="str">
        <f>A533&amp;"."&amp;COUNTIF(A$3:A533,A533)-1</f>
        <v>40.3</v>
      </c>
      <c r="C533" s="100" t="s">
        <v>51</v>
      </c>
      <c r="D533" s="41"/>
      <c r="E533" s="101"/>
      <c r="F533" s="101"/>
      <c r="G533" s="41"/>
      <c r="H533" s="41"/>
      <c r="I533" s="118" t="s">
        <v>52</v>
      </c>
      <c r="J533" s="117" t="str">
        <f t="shared" ref="J533" si="235">IFERROR(I533*H533,"")</f>
        <v/>
      </c>
      <c r="K533" s="52"/>
      <c r="L533" s="53">
        <f t="shared" si="234"/>
        <v>1</v>
      </c>
      <c r="M533" s="69">
        <f t="shared" ref="M533" si="236">IFERROR(O533*N533,"")</f>
        <v>750</v>
      </c>
      <c r="N533" s="55">
        <v>1</v>
      </c>
      <c r="O533" s="337">
        <v>750</v>
      </c>
      <c r="P533" s="57" t="str">
        <f t="shared" ref="P533" si="237">IF(_xlfn.ISFORMULA(O533),"","值")</f>
        <v>值</v>
      </c>
      <c r="Q533" s="23"/>
      <c r="R533" s="23"/>
    </row>
    <row r="534" spans="1:18" ht="27" customHeight="1" x14ac:dyDescent="0.2">
      <c r="A534" s="363">
        <f>COUNTIF(L$1:L534,"!")</f>
        <v>40</v>
      </c>
      <c r="B534" s="364" t="str">
        <f>A534&amp;"."&amp;COUNTIF(A$3:A534,A534)-1</f>
        <v>40.4</v>
      </c>
      <c r="C534" s="103" t="s">
        <v>53</v>
      </c>
      <c r="D534" s="104"/>
      <c r="E534" s="365"/>
      <c r="F534" s="101"/>
      <c r="G534" s="104"/>
      <c r="H534" s="104" t="s">
        <v>1</v>
      </c>
      <c r="I534" s="118" t="s">
        <v>52</v>
      </c>
      <c r="J534" s="366"/>
      <c r="K534" s="104"/>
      <c r="L534" s="53"/>
      <c r="M534" s="119"/>
      <c r="N534" s="70"/>
      <c r="O534" s="337"/>
      <c r="P534" s="23"/>
      <c r="Q534" s="23"/>
      <c r="R534" s="23"/>
    </row>
    <row r="535" spans="1:18" ht="27" customHeight="1" x14ac:dyDescent="0.2">
      <c r="A535" s="363">
        <f>COUNTIF(L$1:L535,"!")</f>
        <v>40</v>
      </c>
      <c r="B535" s="364" t="str">
        <f>A535&amp;"."&amp;COUNTIF(A$3:A535,A535)-1</f>
        <v>40.5</v>
      </c>
      <c r="C535" s="103" t="s">
        <v>54</v>
      </c>
      <c r="D535" s="104"/>
      <c r="E535" s="365"/>
      <c r="F535" s="101"/>
      <c r="G535" s="104"/>
      <c r="H535" s="104"/>
      <c r="I535" s="118" t="s">
        <v>1</v>
      </c>
      <c r="J535" s="120">
        <f>SUM(J531:J534)</f>
        <v>0.55599999999999994</v>
      </c>
      <c r="K535" s="104"/>
      <c r="L535" s="53"/>
      <c r="M535" s="119"/>
      <c r="N535" s="70"/>
      <c r="O535" s="337"/>
      <c r="P535" s="30"/>
      <c r="Q535" s="90"/>
      <c r="R535" s="30"/>
    </row>
    <row r="536" spans="1:18" s="23" customFormat="1" ht="16.5" customHeight="1" x14ac:dyDescent="0.15">
      <c r="A536" s="97">
        <f>COUNTIF(L$1:L536,"!")</f>
        <v>41</v>
      </c>
      <c r="B536" s="32" t="str">
        <f>COUNTIF(L$2:L537,"!")&amp;"."</f>
        <v>41.</v>
      </c>
      <c r="C536" s="47" t="s">
        <v>2824</v>
      </c>
      <c r="D536" s="35" t="str">
        <f>D537</f>
        <v>GGD-800*600*2000</v>
      </c>
      <c r="E536" s="367" t="s">
        <v>22</v>
      </c>
      <c r="F536" s="367" t="s">
        <v>3261</v>
      </c>
      <c r="G536" s="34" t="s">
        <v>23</v>
      </c>
      <c r="H536" s="98">
        <v>1</v>
      </c>
      <c r="I536" s="115">
        <f>LOOKUP(0,0/((A536:A590=A536)*(C536:C590="合计金额（单位完整货物单价）")),J536:J590)</f>
        <v>1.5017600000000002</v>
      </c>
      <c r="J536" s="116">
        <f>IFERROR(I536*H536,"")</f>
        <v>1.5017600000000002</v>
      </c>
      <c r="K536" s="34"/>
      <c r="L536" s="48" t="s">
        <v>24</v>
      </c>
      <c r="M536" s="49"/>
      <c r="N536" s="50"/>
      <c r="O536" s="51"/>
      <c r="Q536" s="360">
        <f>COUNTIF(L$3:L536,"#")</f>
        <v>6</v>
      </c>
    </row>
    <row r="537" spans="1:18" s="23" customFormat="1" ht="16.5" customHeight="1" x14ac:dyDescent="0.2">
      <c r="A537" s="363">
        <f>COUNTIF(L$1:L537,"!")</f>
        <v>41</v>
      </c>
      <c r="B537" s="364" t="str">
        <f>A537&amp;"."&amp;COUNTIF(A$3:A537,A537)-1</f>
        <v>41.1</v>
      </c>
      <c r="C537" s="100" t="str">
        <f>IFERROR(VLOOKUP(D537,元件库!$B:$O,3,FALSE),"")</f>
        <v>壳体W*D*H</v>
      </c>
      <c r="D537" s="41" t="s">
        <v>181</v>
      </c>
      <c r="E537" s="101" t="s">
        <v>2821</v>
      </c>
      <c r="F537" s="101" t="s">
        <v>3261</v>
      </c>
      <c r="G537" s="41" t="s">
        <v>23</v>
      </c>
      <c r="H537" s="41">
        <v>1</v>
      </c>
      <c r="I537" s="117">
        <f>IFERROR(ROUND(L537*M537/10000,4),"")</f>
        <v>0.155</v>
      </c>
      <c r="J537" s="117">
        <f t="shared" ref="J537:J546" si="238">IFERROR(I537*H537,"")</f>
        <v>0.155</v>
      </c>
      <c r="K537" s="52"/>
      <c r="L537" s="53">
        <f t="shared" ref="L537:L554" si="239">L$2</f>
        <v>1</v>
      </c>
      <c r="M537" s="69">
        <f t="shared" ref="M537:M546" si="240">IFERROR(O537*N537,"")</f>
        <v>1550</v>
      </c>
      <c r="N537" s="55">
        <f>IFERROR(VLOOKUP(D537,元件库!$B:$O,10,FALSE),"1.00")</f>
        <v>1</v>
      </c>
      <c r="O537" s="337">
        <f>IFERROR(VLOOKUP(D537,元件库!$B:$O,11,FALSE),"")</f>
        <v>1550</v>
      </c>
      <c r="P537" s="57" t="str">
        <f t="shared" ref="P537:P546" si="241">IF(_xlfn.ISFORMULA(O537),"","值")</f>
        <v/>
      </c>
      <c r="Q537" s="90"/>
    </row>
    <row r="538" spans="1:18" s="23" customFormat="1" ht="16.5" customHeight="1" x14ac:dyDescent="0.2">
      <c r="A538" s="363">
        <f>COUNTIF(L$1:L538,"!")</f>
        <v>41</v>
      </c>
      <c r="B538" s="364" t="str">
        <f>A538&amp;"."&amp;COUNTIF(A$3:A538,A538)-1</f>
        <v>41.2</v>
      </c>
      <c r="C538" s="100" t="str">
        <f>IFERROR(VLOOKUP(D538,元件库!$B:$O,3,FALSE),"")</f>
        <v>封板</v>
      </c>
      <c r="D538" s="41" t="s">
        <v>2825</v>
      </c>
      <c r="E538" s="101" t="s">
        <v>2821</v>
      </c>
      <c r="F538" s="101" t="s">
        <v>3261</v>
      </c>
      <c r="G538" s="41" t="s">
        <v>23</v>
      </c>
      <c r="H538" s="41">
        <v>2</v>
      </c>
      <c r="I538" s="117">
        <f>IFERROR(ROUND(L538*M538/10000,4),"")</f>
        <v>1.7999999999999999E-2</v>
      </c>
      <c r="J538" s="117">
        <f t="shared" si="238"/>
        <v>3.5999999999999997E-2</v>
      </c>
      <c r="K538" s="52"/>
      <c r="L538" s="53">
        <f t="shared" si="239"/>
        <v>1</v>
      </c>
      <c r="M538" s="69">
        <f t="shared" si="240"/>
        <v>180</v>
      </c>
      <c r="N538" s="55">
        <f>IFERROR(VLOOKUP(D538,元件库!$B:$O,10,FALSE),"1.00")</f>
        <v>1</v>
      </c>
      <c r="O538" s="337">
        <f>IFERROR(VLOOKUP(D538,元件库!$B:$O,11,FALSE),"")</f>
        <v>180</v>
      </c>
      <c r="P538" s="57" t="str">
        <f t="shared" si="241"/>
        <v/>
      </c>
      <c r="Q538" s="90"/>
    </row>
    <row r="539" spans="1:18" s="23" customFormat="1" ht="16.5" customHeight="1" x14ac:dyDescent="0.2">
      <c r="A539" s="363">
        <f>COUNTIF(L$1:L539,"!")</f>
        <v>41</v>
      </c>
      <c r="B539" s="364" t="str">
        <f>A539&amp;"."&amp;COUNTIF(A$3:A539,A539)-1</f>
        <v>41.3</v>
      </c>
      <c r="C539" s="100" t="str">
        <f>IFERROR(VLOOKUP(D539,元件库!$B:$O,3,FALSE),"")</f>
        <v>刀开关</v>
      </c>
      <c r="D539" s="41" t="s">
        <v>2826</v>
      </c>
      <c r="E539" s="101" t="s">
        <v>2821</v>
      </c>
      <c r="F539" s="101" t="s">
        <v>32</v>
      </c>
      <c r="G539" s="41" t="s">
        <v>29</v>
      </c>
      <c r="H539" s="41">
        <v>1</v>
      </c>
      <c r="I539" s="117">
        <f t="shared" ref="I539:I546" si="242">IFERROR(ROUND(L539*M539/10000,4),"")</f>
        <v>9.2999999999999999E-2</v>
      </c>
      <c r="J539" s="117">
        <f t="shared" si="238"/>
        <v>9.2999999999999999E-2</v>
      </c>
      <c r="K539" s="52"/>
      <c r="L539" s="53">
        <f t="shared" si="239"/>
        <v>1</v>
      </c>
      <c r="M539" s="69">
        <f t="shared" si="240"/>
        <v>929.50000000000011</v>
      </c>
      <c r="N539" s="55">
        <f>IFERROR(VLOOKUP(D539,元件库!$B:$O,10,FALSE),"1.00")</f>
        <v>0.55000000000000004</v>
      </c>
      <c r="O539" s="337">
        <f>IFERROR(VLOOKUP(D539,元件库!$B:$O,11,FALSE),"")</f>
        <v>1690</v>
      </c>
      <c r="P539" s="57" t="str">
        <f t="shared" si="241"/>
        <v/>
      </c>
      <c r="Q539" s="90"/>
    </row>
    <row r="540" spans="1:18" s="23" customFormat="1" ht="16.5" customHeight="1" x14ac:dyDescent="0.2">
      <c r="A540" s="363">
        <f>COUNTIF(L$1:L540,"!")</f>
        <v>41</v>
      </c>
      <c r="B540" s="364" t="str">
        <f>A540&amp;"."&amp;COUNTIF(A$3:A540,A540)-1</f>
        <v>41.4</v>
      </c>
      <c r="C540" s="100" t="str">
        <f>IFERROR(VLOOKUP(D540,元件库!$B:$O,3,FALSE),"")</f>
        <v>框架断路器</v>
      </c>
      <c r="D540" s="41" t="s">
        <v>2827</v>
      </c>
      <c r="E540" s="101" t="s">
        <v>2821</v>
      </c>
      <c r="F540" s="101" t="s">
        <v>28</v>
      </c>
      <c r="G540" s="41" t="s">
        <v>29</v>
      </c>
      <c r="H540" s="41">
        <v>1</v>
      </c>
      <c r="I540" s="117">
        <f t="shared" si="242"/>
        <v>0.43049999999999999</v>
      </c>
      <c r="J540" s="117">
        <f t="shared" si="238"/>
        <v>0.43049999999999999</v>
      </c>
      <c r="K540" s="52"/>
      <c r="L540" s="53">
        <f t="shared" si="239"/>
        <v>1</v>
      </c>
      <c r="M540" s="69">
        <f t="shared" si="240"/>
        <v>4305</v>
      </c>
      <c r="N540" s="55">
        <f>IFERROR(VLOOKUP(D540,元件库!$B:$O,10,FALSE),"1.00")</f>
        <v>1</v>
      </c>
      <c r="O540" s="337">
        <f>IFERROR(VLOOKUP(D540,元件库!$B:$O,11,FALSE),"")</f>
        <v>4305</v>
      </c>
      <c r="P540" s="57" t="str">
        <f t="shared" si="241"/>
        <v/>
      </c>
      <c r="Q540" s="90"/>
    </row>
    <row r="541" spans="1:18" s="23" customFormat="1" ht="16.5" customHeight="1" x14ac:dyDescent="0.2">
      <c r="A541" s="363">
        <f>COUNTIF(L$1:L541,"!")</f>
        <v>41</v>
      </c>
      <c r="B541" s="364" t="str">
        <f>A541&amp;"."&amp;COUNTIF(A$3:A541,A541)-1</f>
        <v>41.5</v>
      </c>
      <c r="C541" s="100" t="str">
        <f>IFERROR(VLOOKUP(D541,元件库!$B:$O,3,FALSE),"")</f>
        <v/>
      </c>
      <c r="D541" s="41" t="s">
        <v>2829</v>
      </c>
      <c r="E541" s="101" t="s">
        <v>2821</v>
      </c>
      <c r="F541" s="101" t="s">
        <v>32</v>
      </c>
      <c r="G541" s="41" t="s">
        <v>29</v>
      </c>
      <c r="H541" s="41">
        <v>6</v>
      </c>
      <c r="I541" s="117" t="str">
        <f t="shared" si="242"/>
        <v/>
      </c>
      <c r="J541" s="117" t="str">
        <f t="shared" si="238"/>
        <v/>
      </c>
      <c r="K541" s="52"/>
      <c r="L541" s="53">
        <f t="shared" si="239"/>
        <v>1</v>
      </c>
      <c r="M541" s="69" t="str">
        <f t="shared" si="240"/>
        <v/>
      </c>
      <c r="N541" s="55" t="str">
        <f>IFERROR(VLOOKUP(D541,元件库!$B:$O,10,FALSE),"1.00")</f>
        <v>1.00</v>
      </c>
      <c r="O541" s="337" t="str">
        <f>IFERROR(VLOOKUP(D541,元件库!$B:$O,11,FALSE),"")</f>
        <v/>
      </c>
      <c r="P541" s="57" t="str">
        <f t="shared" si="241"/>
        <v/>
      </c>
    </row>
    <row r="542" spans="1:18" s="23" customFormat="1" ht="16.5" customHeight="1" x14ac:dyDescent="0.2">
      <c r="A542" s="363">
        <f>COUNTIF(L$1:L542,"!")</f>
        <v>41</v>
      </c>
      <c r="B542" s="364" t="str">
        <f>A542&amp;"."&amp;COUNTIF(A$3:A542,A542)-1</f>
        <v>41.6</v>
      </c>
      <c r="C542" s="100" t="str">
        <f>IFERROR(VLOOKUP(D542,元件库!$B:$O,3,FALSE),"")</f>
        <v>电流.电压表</v>
      </c>
      <c r="D542" s="41" t="s">
        <v>145</v>
      </c>
      <c r="E542" s="101" t="s">
        <v>2821</v>
      </c>
      <c r="F542" s="101" t="s">
        <v>32</v>
      </c>
      <c r="G542" s="41" t="s">
        <v>29</v>
      </c>
      <c r="H542" s="41">
        <v>3</v>
      </c>
      <c r="I542" s="117">
        <f t="shared" si="242"/>
        <v>1.4E-3</v>
      </c>
      <c r="J542" s="117">
        <f t="shared" si="238"/>
        <v>4.1999999999999997E-3</v>
      </c>
      <c r="K542" s="52"/>
      <c r="L542" s="53">
        <f t="shared" si="239"/>
        <v>1</v>
      </c>
      <c r="M542" s="69">
        <f t="shared" si="240"/>
        <v>13.750000000000002</v>
      </c>
      <c r="N542" s="55">
        <f>IFERROR(VLOOKUP(D542,元件库!$B:$O,10,FALSE),"1.00")</f>
        <v>0.55000000000000004</v>
      </c>
      <c r="O542" s="337">
        <f>IFERROR(VLOOKUP(D542,元件库!$B:$O,11,FALSE),"")</f>
        <v>25</v>
      </c>
      <c r="P542" s="57" t="str">
        <f t="shared" si="241"/>
        <v/>
      </c>
    </row>
    <row r="543" spans="1:18" s="23" customFormat="1" ht="16.5" customHeight="1" x14ac:dyDescent="0.2">
      <c r="A543" s="363">
        <f>COUNTIF(L$1:L543,"!")</f>
        <v>41</v>
      </c>
      <c r="B543" s="364" t="str">
        <f>A543&amp;"."&amp;COUNTIF(A$3:A543,A543)-1</f>
        <v>41.7</v>
      </c>
      <c r="C543" s="100" t="str">
        <f>IFERROR(VLOOKUP(D543,元件库!$B:$O,3,FALSE),"")</f>
        <v>电流.电压表</v>
      </c>
      <c r="D543" s="41" t="s">
        <v>150</v>
      </c>
      <c r="E543" s="101" t="s">
        <v>2821</v>
      </c>
      <c r="F543" s="101" t="s">
        <v>32</v>
      </c>
      <c r="G543" s="41" t="s">
        <v>29</v>
      </c>
      <c r="H543" s="41">
        <v>1</v>
      </c>
      <c r="I543" s="117">
        <f t="shared" si="242"/>
        <v>1.4E-3</v>
      </c>
      <c r="J543" s="117">
        <f t="shared" si="238"/>
        <v>1.4E-3</v>
      </c>
      <c r="K543" s="52"/>
      <c r="L543" s="53">
        <f t="shared" si="239"/>
        <v>1</v>
      </c>
      <c r="M543" s="69">
        <f t="shared" si="240"/>
        <v>13.750000000000002</v>
      </c>
      <c r="N543" s="55">
        <f>IFERROR(VLOOKUP(D543,元件库!$B:$O,10,FALSE),"1.00")</f>
        <v>0.55000000000000004</v>
      </c>
      <c r="O543" s="337">
        <f>IFERROR(VLOOKUP(D543,元件库!$B:$O,11,FALSE),"")</f>
        <v>25</v>
      </c>
      <c r="P543" s="57" t="str">
        <f t="shared" si="241"/>
        <v/>
      </c>
    </row>
    <row r="544" spans="1:18" s="23" customFormat="1" ht="16.5" customHeight="1" x14ac:dyDescent="0.2">
      <c r="A544" s="363">
        <f>COUNTIF(L$1:L544,"!")</f>
        <v>41</v>
      </c>
      <c r="B544" s="364" t="str">
        <f>A544&amp;"."&amp;COUNTIF(A$3:A544,A544)-1</f>
        <v>41.8</v>
      </c>
      <c r="C544" s="100" t="str">
        <f>IFERROR(VLOOKUP(D544,元件库!$B:$O,3,FALSE),"")</f>
        <v/>
      </c>
      <c r="D544" s="41" t="s">
        <v>2830</v>
      </c>
      <c r="E544" s="101" t="s">
        <v>2821</v>
      </c>
      <c r="F544" s="101" t="s">
        <v>32</v>
      </c>
      <c r="G544" s="41" t="s">
        <v>29</v>
      </c>
      <c r="H544" s="41">
        <v>1</v>
      </c>
      <c r="I544" s="117" t="str">
        <f t="shared" si="242"/>
        <v/>
      </c>
      <c r="J544" s="117" t="str">
        <f t="shared" si="238"/>
        <v/>
      </c>
      <c r="K544" s="52"/>
      <c r="L544" s="53">
        <f t="shared" si="239"/>
        <v>1</v>
      </c>
      <c r="M544" s="69" t="str">
        <f t="shared" si="240"/>
        <v/>
      </c>
      <c r="N544" s="55" t="str">
        <f>IFERROR(VLOOKUP(D544,元件库!$B:$O,10,FALSE),"1.00")</f>
        <v>1.00</v>
      </c>
      <c r="O544" s="337" t="str">
        <f>IFERROR(VLOOKUP(D544,元件库!$B:$O,11,FALSE),"")</f>
        <v/>
      </c>
      <c r="P544" s="57" t="str">
        <f t="shared" si="241"/>
        <v/>
      </c>
    </row>
    <row r="545" spans="1:17" s="23" customFormat="1" ht="16.5" customHeight="1" x14ac:dyDescent="0.2">
      <c r="A545" s="363">
        <f>COUNTIF(L$1:L545,"!")</f>
        <v>41</v>
      </c>
      <c r="B545" s="364" t="str">
        <f>A545&amp;"."&amp;COUNTIF(A$3:A545,A545)-1</f>
        <v>41.9</v>
      </c>
      <c r="C545" s="100" t="str">
        <f>IFERROR(VLOOKUP(D545,元件库!$B:$O,3,FALSE),"")</f>
        <v>浪涌保护器</v>
      </c>
      <c r="D545" s="41" t="s">
        <v>2831</v>
      </c>
      <c r="E545" s="101" t="s">
        <v>2821</v>
      </c>
      <c r="F545" s="101" t="s">
        <v>67</v>
      </c>
      <c r="G545" s="41" t="s">
        <v>29</v>
      </c>
      <c r="H545" s="41">
        <v>1</v>
      </c>
      <c r="I545" s="117">
        <f t="shared" si="242"/>
        <v>1.9E-2</v>
      </c>
      <c r="J545" s="117">
        <f t="shared" si="238"/>
        <v>1.9E-2</v>
      </c>
      <c r="K545" s="52"/>
      <c r="L545" s="53">
        <f t="shared" si="239"/>
        <v>1</v>
      </c>
      <c r="M545" s="69">
        <f t="shared" si="240"/>
        <v>190</v>
      </c>
      <c r="N545" s="55">
        <f>IFERROR(VLOOKUP(D545,元件库!$B:$O,10,FALSE),"1.00")</f>
        <v>1</v>
      </c>
      <c r="O545" s="337">
        <f>IFERROR(VLOOKUP(D545,元件库!$B:$O,11,FALSE),"")</f>
        <v>190</v>
      </c>
      <c r="P545" s="57" t="str">
        <f t="shared" si="241"/>
        <v/>
      </c>
    </row>
    <row r="546" spans="1:17" s="23" customFormat="1" ht="16.5" customHeight="1" x14ac:dyDescent="0.2">
      <c r="A546" s="363">
        <f>COUNTIF(L$1:L546,"!")</f>
        <v>41</v>
      </c>
      <c r="B546" s="364" t="str">
        <f>A546&amp;"."&amp;COUNTIF(A$3:A546,A546)-1</f>
        <v>41.10</v>
      </c>
      <c r="C546" s="100" t="str">
        <f>IFERROR(VLOOKUP(D546,元件库!$B:$O,3,FALSE),"")</f>
        <v/>
      </c>
      <c r="D546" s="41" t="s">
        <v>75</v>
      </c>
      <c r="E546" s="101" t="s">
        <v>2821</v>
      </c>
      <c r="F546" s="101" t="s">
        <v>32</v>
      </c>
      <c r="G546" s="41" t="s">
        <v>29</v>
      </c>
      <c r="H546" s="41">
        <v>4</v>
      </c>
      <c r="I546" s="117" t="str">
        <f t="shared" si="242"/>
        <v/>
      </c>
      <c r="J546" s="117" t="str">
        <f t="shared" si="238"/>
        <v/>
      </c>
      <c r="K546" s="52"/>
      <c r="L546" s="53">
        <f t="shared" si="239"/>
        <v>1</v>
      </c>
      <c r="M546" s="69" t="str">
        <f t="shared" si="240"/>
        <v/>
      </c>
      <c r="N546" s="55" t="str">
        <f>IFERROR(VLOOKUP(D546,元件库!$B:$O,10,FALSE),"1.00")</f>
        <v>1.00</v>
      </c>
      <c r="O546" s="337" t="str">
        <f>IFERROR(VLOOKUP(D546,元件库!$B:$O,11,FALSE),"")</f>
        <v/>
      </c>
      <c r="P546" s="57" t="str">
        <f t="shared" si="241"/>
        <v/>
      </c>
    </row>
    <row r="547" spans="1:17" s="23" customFormat="1" ht="16.5" customHeight="1" x14ac:dyDescent="0.2">
      <c r="A547" s="363">
        <f>COUNTIF(L$1:L547,"!")</f>
        <v>41</v>
      </c>
      <c r="B547" s="364" t="str">
        <f>A547&amp;"."&amp;COUNTIF(A$3:A547,A547)-1</f>
        <v>41.11</v>
      </c>
      <c r="C547" s="100" t="str">
        <f>IFERROR(VLOOKUP(D547,元件库!$B:$O,3,FALSE),"")</f>
        <v/>
      </c>
      <c r="D547" s="41" t="s">
        <v>2832</v>
      </c>
      <c r="E547" s="101" t="s">
        <v>2821</v>
      </c>
      <c r="F547" s="101" t="s">
        <v>32</v>
      </c>
      <c r="G547" s="41" t="s">
        <v>29</v>
      </c>
      <c r="H547" s="41">
        <v>4</v>
      </c>
      <c r="I547" s="117" t="str">
        <f>IFERROR(ROUND(L547*M547/10000,4),"")</f>
        <v/>
      </c>
      <c r="J547" s="117" t="str">
        <f>IFERROR(I547*H547,"")</f>
        <v/>
      </c>
      <c r="K547" s="52"/>
      <c r="L547" s="53">
        <f t="shared" si="239"/>
        <v>1</v>
      </c>
      <c r="M547" s="69" t="str">
        <f>IFERROR(O547*N547,"")</f>
        <v/>
      </c>
      <c r="N547" s="55" t="str">
        <f>IFERROR(VLOOKUP(D547,元件库!$B:$O,10,FALSE),"1.00")</f>
        <v>1.00</v>
      </c>
      <c r="O547" s="337" t="str">
        <f>IFERROR(VLOOKUP(D547,元件库!$B:$O,11,FALSE),"")</f>
        <v/>
      </c>
      <c r="P547" s="57" t="str">
        <f>IF(_xlfn.ISFORMULA(O547),"","值")</f>
        <v/>
      </c>
    </row>
    <row r="548" spans="1:17" s="23" customFormat="1" ht="16.5" customHeight="1" x14ac:dyDescent="0.2">
      <c r="A548" s="363">
        <f>COUNTIF(L$1:L548,"!")</f>
        <v>41</v>
      </c>
      <c r="B548" s="364" t="str">
        <f>A548&amp;"."&amp;COUNTIF(A$3:A548,A548)-1</f>
        <v>41.12</v>
      </c>
      <c r="C548" s="100" t="str">
        <f>IFERROR(VLOOKUP(D548,元件库!$B:$O,3,FALSE),"")</f>
        <v>指示灯</v>
      </c>
      <c r="D548" s="41" t="s">
        <v>35</v>
      </c>
      <c r="E548" s="101" t="s">
        <v>2821</v>
      </c>
      <c r="F548" s="101" t="s">
        <v>32</v>
      </c>
      <c r="G548" s="41" t="s">
        <v>29</v>
      </c>
      <c r="H548" s="41">
        <v>3</v>
      </c>
      <c r="I548" s="117">
        <f>IFERROR(ROUND(L548*M548/10000,4),"")</f>
        <v>2.0000000000000001E-4</v>
      </c>
      <c r="J548" s="117">
        <f>IFERROR(I548*H548,"")</f>
        <v>6.0000000000000006E-4</v>
      </c>
      <c r="K548" s="52"/>
      <c r="L548" s="53">
        <f t="shared" si="239"/>
        <v>1</v>
      </c>
      <c r="M548" s="69">
        <f>IFERROR(O548*N548,"")</f>
        <v>2.3100000000000005</v>
      </c>
      <c r="N548" s="55">
        <f>IFERROR(VLOOKUP(D548,元件库!$B:$O,10,FALSE),"1.00")</f>
        <v>0.55000000000000004</v>
      </c>
      <c r="O548" s="337">
        <f>IFERROR(VLOOKUP(D548,元件库!$B:$O,11,FALSE),"")</f>
        <v>4.2</v>
      </c>
      <c r="P548" s="57" t="str">
        <f>IF(_xlfn.ISFORMULA(O548),"","值")</f>
        <v/>
      </c>
    </row>
    <row r="549" spans="1:17" s="23" customFormat="1" ht="16.5" customHeight="1" x14ac:dyDescent="0.2">
      <c r="A549" s="363">
        <f>COUNTIF(L$1:L549,"!")</f>
        <v>41</v>
      </c>
      <c r="B549" s="364" t="str">
        <f>A549&amp;"."&amp;COUNTIF(A$3:A549,A549)-1</f>
        <v>41.13</v>
      </c>
      <c r="C549" s="100" t="str">
        <f>IFERROR(VLOOKUP(D549,元件库!$B:$O,3,FALSE),"")</f>
        <v/>
      </c>
      <c r="D549" s="41" t="s">
        <v>70</v>
      </c>
      <c r="E549" s="101" t="s">
        <v>2821</v>
      </c>
      <c r="F549" s="101" t="s">
        <v>32</v>
      </c>
      <c r="G549" s="41" t="s">
        <v>29</v>
      </c>
      <c r="H549" s="41">
        <v>2</v>
      </c>
      <c r="I549" s="117" t="str">
        <f>IFERROR(ROUND(L549*M549/10000,4),"")</f>
        <v/>
      </c>
      <c r="J549" s="117" t="str">
        <f>IFERROR(I549*H549,"")</f>
        <v/>
      </c>
      <c r="K549" s="52"/>
      <c r="L549" s="53">
        <f t="shared" si="239"/>
        <v>1</v>
      </c>
      <c r="M549" s="69" t="str">
        <f>IFERROR(O549*N549,"")</f>
        <v/>
      </c>
      <c r="N549" s="55" t="str">
        <f>IFERROR(VLOOKUP(D549,元件库!$B:$O,10,FALSE),"1.00")</f>
        <v>1.00</v>
      </c>
      <c r="O549" s="337" t="str">
        <f>IFERROR(VLOOKUP(D549,元件库!$B:$O,11,FALSE),"")</f>
        <v/>
      </c>
      <c r="P549" s="57" t="str">
        <f>IF(_xlfn.ISFORMULA(O549),"","值")</f>
        <v/>
      </c>
    </row>
    <row r="550" spans="1:17" s="23" customFormat="1" ht="16.5" customHeight="1" x14ac:dyDescent="0.2">
      <c r="A550" s="363">
        <f>COUNTIF(L$1:L550,"!")</f>
        <v>41</v>
      </c>
      <c r="B550" s="364" t="str">
        <f>A550&amp;"."&amp;COUNTIF(A$3:A550,A550)-1</f>
        <v>41.14</v>
      </c>
      <c r="C550" s="100" t="str">
        <f>IFERROR(VLOOKUP(D550,元件库!$B:$O,3,FALSE),"")</f>
        <v>铜排</v>
      </c>
      <c r="D550" s="41" t="s">
        <v>2816</v>
      </c>
      <c r="E550" s="101" t="s">
        <v>2817</v>
      </c>
      <c r="F550" s="101" t="s">
        <v>38</v>
      </c>
      <c r="G550" s="41" t="s">
        <v>39</v>
      </c>
      <c r="H550" s="41">
        <v>11</v>
      </c>
      <c r="I550" s="117">
        <f t="shared" ref="I550:I554" si="243">IFERROR(ROUND(L550*M550/10000,4),"")</f>
        <v>4.0599999999999997E-2</v>
      </c>
      <c r="J550" s="117">
        <f t="shared" ref="J550:J554" si="244">IFERROR(I550*H550,"")</f>
        <v>0.4466</v>
      </c>
      <c r="K550" s="52"/>
      <c r="L550" s="53">
        <f t="shared" si="239"/>
        <v>1</v>
      </c>
      <c r="M550" s="69">
        <f t="shared" ref="M550:M554" si="245">IFERROR(O550*N550,"")</f>
        <v>405.84</v>
      </c>
      <c r="N550" s="55">
        <f>IFERROR(VLOOKUP(D550,元件库!$B:$O,10,FALSE),"1.00")</f>
        <v>1</v>
      </c>
      <c r="O550" s="337">
        <f>IFERROR(VLOOKUP(D550,元件库!$B:$O,11,FALSE),"")</f>
        <v>405.84</v>
      </c>
      <c r="P550" s="57" t="str">
        <f t="shared" ref="P550:P554" si="246">IF(_xlfn.ISFORMULA(O550),"","值")</f>
        <v/>
      </c>
    </row>
    <row r="551" spans="1:17" s="23" customFormat="1" ht="16.5" customHeight="1" x14ac:dyDescent="0.2">
      <c r="A551" s="363">
        <f>COUNTIF(L$1:L551,"!")</f>
        <v>41</v>
      </c>
      <c r="B551" s="364" t="str">
        <f>A551&amp;"."&amp;COUNTIF(A$3:A551,A551)-1</f>
        <v>41.15</v>
      </c>
      <c r="C551" s="100" t="s">
        <v>42</v>
      </c>
      <c r="D551" s="41" t="s">
        <v>3014</v>
      </c>
      <c r="E551" s="101" t="s">
        <v>37</v>
      </c>
      <c r="F551" s="101" t="s">
        <v>38</v>
      </c>
      <c r="G551" s="41" t="s">
        <v>39</v>
      </c>
      <c r="H551" s="41">
        <v>2.4</v>
      </c>
      <c r="I551" s="117">
        <f t="shared" si="243"/>
        <v>4.0599999999999997E-2</v>
      </c>
      <c r="J551" s="117">
        <f t="shared" si="244"/>
        <v>9.7439999999999985E-2</v>
      </c>
      <c r="K551" s="52"/>
      <c r="L551" s="53">
        <f t="shared" si="239"/>
        <v>1</v>
      </c>
      <c r="M551" s="69">
        <f t="shared" si="245"/>
        <v>405.84</v>
      </c>
      <c r="N551" s="55">
        <f>IFERROR(VLOOKUP(D551,元件库!$B:$O,10,FALSE),"1.00")</f>
        <v>1</v>
      </c>
      <c r="O551" s="337">
        <f>IFERROR(VLOOKUP(D551,元件库!$B:$O,11,FALSE),"")</f>
        <v>405.84</v>
      </c>
      <c r="P551" s="57" t="str">
        <f t="shared" si="246"/>
        <v/>
      </c>
    </row>
    <row r="552" spans="1:17" s="23" customFormat="1" ht="16.5" customHeight="1" x14ac:dyDescent="0.2">
      <c r="A552" s="363">
        <f>COUNTIF(L$1:L552,"!")</f>
        <v>41</v>
      </c>
      <c r="B552" s="364" t="str">
        <f>A552&amp;"."&amp;COUNTIF(A$3:A552,A552)-1</f>
        <v>41.16</v>
      </c>
      <c r="C552" s="100" t="s">
        <v>44</v>
      </c>
      <c r="D552" s="41" t="s">
        <v>3015</v>
      </c>
      <c r="E552" s="101" t="s">
        <v>37</v>
      </c>
      <c r="F552" s="101" t="s">
        <v>38</v>
      </c>
      <c r="G552" s="41" t="s">
        <v>39</v>
      </c>
      <c r="H552" s="41">
        <v>2.2999999999999998</v>
      </c>
      <c r="I552" s="117">
        <f t="shared" si="243"/>
        <v>4.0599999999999997E-2</v>
      </c>
      <c r="J552" s="117">
        <f t="shared" si="244"/>
        <v>9.3379999999999991E-2</v>
      </c>
      <c r="K552" s="52"/>
      <c r="L552" s="53">
        <f t="shared" si="239"/>
        <v>1</v>
      </c>
      <c r="M552" s="69">
        <f t="shared" si="245"/>
        <v>405.84</v>
      </c>
      <c r="N552" s="55">
        <f>IFERROR(VLOOKUP(D552,元件库!$B:$O,10,FALSE),"1.00")</f>
        <v>1</v>
      </c>
      <c r="O552" s="337">
        <f>IFERROR(VLOOKUP(D552,元件库!$B:$O,11,FALSE),"")</f>
        <v>405.84</v>
      </c>
      <c r="P552" s="57" t="str">
        <f t="shared" si="246"/>
        <v/>
      </c>
    </row>
    <row r="553" spans="1:17" s="23" customFormat="1" ht="16.5" customHeight="1" x14ac:dyDescent="0.2">
      <c r="A553" s="363">
        <f>COUNTIF(L$1:L553,"!")</f>
        <v>41</v>
      </c>
      <c r="B553" s="364" t="str">
        <f>A553&amp;"."&amp;COUNTIF(A$3:A553,A553)-1</f>
        <v>41.17</v>
      </c>
      <c r="C553" s="100" t="s">
        <v>45</v>
      </c>
      <c r="D553" s="41" t="s">
        <v>3016</v>
      </c>
      <c r="E553" s="101" t="s">
        <v>37</v>
      </c>
      <c r="F553" s="101" t="s">
        <v>38</v>
      </c>
      <c r="G553" s="41" t="s">
        <v>39</v>
      </c>
      <c r="H553" s="41">
        <v>0.8</v>
      </c>
      <c r="I553" s="117">
        <f t="shared" si="243"/>
        <v>1.83E-2</v>
      </c>
      <c r="J553" s="117">
        <f t="shared" si="244"/>
        <v>1.464E-2</v>
      </c>
      <c r="K553" s="52"/>
      <c r="L553" s="53">
        <f t="shared" si="239"/>
        <v>1</v>
      </c>
      <c r="M553" s="69">
        <f t="shared" si="245"/>
        <v>182.62799999999999</v>
      </c>
      <c r="N553" s="55">
        <f>IFERROR(VLOOKUP(D553,元件库!$B:$O,10,FALSE),"1.00")</f>
        <v>1</v>
      </c>
      <c r="O553" s="337">
        <f>IFERROR(VLOOKUP(D553,元件库!$B:$O,11,FALSE),"")</f>
        <v>182.62799999999999</v>
      </c>
      <c r="P553" s="57" t="str">
        <f t="shared" si="246"/>
        <v/>
      </c>
    </row>
    <row r="554" spans="1:17" s="23" customFormat="1" ht="16.5" customHeight="1" x14ac:dyDescent="0.2">
      <c r="A554" s="363">
        <f>COUNTIF(L$1:L554,"!")</f>
        <v>41</v>
      </c>
      <c r="B554" s="364" t="str">
        <f>A554&amp;"."&amp;COUNTIF(A$3:A554,A554)-1</f>
        <v>41.18</v>
      </c>
      <c r="C554" s="100" t="s">
        <v>51</v>
      </c>
      <c r="D554" s="41"/>
      <c r="E554" s="101"/>
      <c r="F554" s="101"/>
      <c r="G554" s="41" t="s">
        <v>2871</v>
      </c>
      <c r="H554" s="41">
        <v>1</v>
      </c>
      <c r="I554" s="117">
        <f t="shared" si="243"/>
        <v>0.11</v>
      </c>
      <c r="J554" s="117">
        <f t="shared" si="244"/>
        <v>0.11</v>
      </c>
      <c r="K554" s="52"/>
      <c r="L554" s="53">
        <f t="shared" si="239"/>
        <v>1</v>
      </c>
      <c r="M554" s="69">
        <f t="shared" si="245"/>
        <v>1100</v>
      </c>
      <c r="N554" s="55">
        <v>1</v>
      </c>
      <c r="O554" s="337">
        <v>1100</v>
      </c>
      <c r="P554" s="57" t="str">
        <f t="shared" si="246"/>
        <v>值</v>
      </c>
    </row>
    <row r="555" spans="1:17" s="23" customFormat="1" ht="27" customHeight="1" x14ac:dyDescent="0.2">
      <c r="A555" s="363">
        <f>COUNTIF(L$1:L555,"!")</f>
        <v>41</v>
      </c>
      <c r="B555" s="364" t="str">
        <f>A555&amp;"."&amp;COUNTIF(A$3:A555,A555)-1</f>
        <v>41.19</v>
      </c>
      <c r="C555" s="103" t="s">
        <v>53</v>
      </c>
      <c r="D555" s="104"/>
      <c r="E555" s="365"/>
      <c r="F555" s="101"/>
      <c r="G555" s="104"/>
      <c r="H555" s="104" t="s">
        <v>1</v>
      </c>
      <c r="I555" s="118" t="s">
        <v>52</v>
      </c>
      <c r="J555" s="366"/>
      <c r="K555" s="104"/>
      <c r="L555" s="53"/>
      <c r="M555" s="119"/>
      <c r="N555" s="70"/>
      <c r="O555" s="337"/>
    </row>
    <row r="556" spans="1:17" s="30" customFormat="1" ht="27" customHeight="1" x14ac:dyDescent="0.2">
      <c r="A556" s="363">
        <f>COUNTIF(L$1:L556,"!")</f>
        <v>41</v>
      </c>
      <c r="B556" s="364" t="str">
        <f>A556&amp;"."&amp;COUNTIF(A$3:A556,A556)-1</f>
        <v>41.20</v>
      </c>
      <c r="C556" s="103" t="s">
        <v>54</v>
      </c>
      <c r="D556" s="104"/>
      <c r="E556" s="365"/>
      <c r="F556" s="101"/>
      <c r="G556" s="104"/>
      <c r="H556" s="104"/>
      <c r="I556" s="118" t="s">
        <v>1</v>
      </c>
      <c r="J556" s="120">
        <f>SUM(J537:J555)</f>
        <v>1.5017600000000002</v>
      </c>
      <c r="K556" s="104"/>
      <c r="L556" s="53"/>
      <c r="M556" s="119"/>
      <c r="N556" s="70"/>
      <c r="O556" s="337"/>
      <c r="Q556" s="90"/>
    </row>
    <row r="557" spans="1:17" s="23" customFormat="1" ht="16.5" customHeight="1" x14ac:dyDescent="0.15">
      <c r="A557" s="97">
        <f>COUNTIF(L$1:L557,"!")</f>
        <v>42</v>
      </c>
      <c r="B557" s="32" t="str">
        <f>COUNTIF(L$2:L558,"!")&amp;"."</f>
        <v>42.</v>
      </c>
      <c r="C557" s="47" t="s">
        <v>2836</v>
      </c>
      <c r="D557" s="35" t="str">
        <f>D558</f>
        <v>GGD-1200*600*2000</v>
      </c>
      <c r="E557" s="367" t="s">
        <v>22</v>
      </c>
      <c r="F557" s="367" t="s">
        <v>3261</v>
      </c>
      <c r="G557" s="34" t="s">
        <v>23</v>
      </c>
      <c r="H557" s="98">
        <v>1</v>
      </c>
      <c r="I557" s="115">
        <f>LOOKUP(0,0/((A557:A572=A557)*(C557:C572="合计金额（单位完整货物单价）")),J557:J572)</f>
        <v>1.0738599999999998</v>
      </c>
      <c r="J557" s="116">
        <f>IFERROR(I557*H557,"")</f>
        <v>1.0738599999999998</v>
      </c>
      <c r="K557" s="34"/>
      <c r="L557" s="48" t="s">
        <v>24</v>
      </c>
      <c r="M557" s="49"/>
      <c r="N557" s="50"/>
      <c r="O557" s="51"/>
      <c r="Q557" s="360">
        <f>COUNTIF(L$3:L557,"#")</f>
        <v>6</v>
      </c>
    </row>
    <row r="558" spans="1:17" s="23" customFormat="1" ht="16.5" customHeight="1" x14ac:dyDescent="0.2">
      <c r="A558" s="363">
        <f>COUNTIF(L$1:L558,"!")</f>
        <v>42</v>
      </c>
      <c r="B558" s="364" t="str">
        <f>A558&amp;"."&amp;COUNTIF(A$3:A558,A558)-1</f>
        <v>42.1</v>
      </c>
      <c r="C558" s="100" t="s">
        <v>25</v>
      </c>
      <c r="D558" s="41" t="s">
        <v>3017</v>
      </c>
      <c r="E558" s="101" t="s">
        <v>22</v>
      </c>
      <c r="F558" s="101" t="s">
        <v>3261</v>
      </c>
      <c r="G558" s="41" t="s">
        <v>23</v>
      </c>
      <c r="H558" s="41">
        <v>1</v>
      </c>
      <c r="I558" s="117">
        <f>IFERROR(ROUND(L558*M558/10000,4),"")</f>
        <v>0.185</v>
      </c>
      <c r="J558" s="117">
        <f t="shared" ref="J558:J570" si="247">IFERROR(I558*H558,"")</f>
        <v>0.185</v>
      </c>
      <c r="K558" s="52"/>
      <c r="L558" s="53">
        <f t="shared" ref="L558:L570" si="248">L$2</f>
        <v>1</v>
      </c>
      <c r="M558" s="69">
        <f t="shared" ref="M558:M570" si="249">IFERROR(O558*N558,"")</f>
        <v>1850</v>
      </c>
      <c r="N558" s="55">
        <f>IFERROR(VLOOKUP(D558,元件库!$B:$O,10,FALSE),"1.00")</f>
        <v>1</v>
      </c>
      <c r="O558" s="337">
        <f>IFERROR(VLOOKUP(D558,元件库!$B:$O,11,FALSE),"")</f>
        <v>1850</v>
      </c>
      <c r="P558" s="57" t="str">
        <f t="shared" ref="P558:P570" si="250">IF(_xlfn.ISFORMULA(O558),"","值")</f>
        <v/>
      </c>
      <c r="Q558" s="90"/>
    </row>
    <row r="559" spans="1:17" s="23" customFormat="1" ht="16.5" customHeight="1" x14ac:dyDescent="0.2">
      <c r="A559" s="363">
        <f>COUNTIF(L$1:L559,"!")</f>
        <v>42</v>
      </c>
      <c r="B559" s="364" t="str">
        <f>A559&amp;"."&amp;COUNTIF(A$3:A559,A559)-1</f>
        <v>42.2</v>
      </c>
      <c r="C559" s="100" t="str">
        <f>IFERROR(VLOOKUP(D559,元件库!$B:$O,3,FALSE),"")</f>
        <v/>
      </c>
      <c r="D559" s="41" t="s">
        <v>3018</v>
      </c>
      <c r="E559" s="101" t="s">
        <v>22</v>
      </c>
      <c r="F559" s="101" t="s">
        <v>32</v>
      </c>
      <c r="G559" s="41" t="s">
        <v>29</v>
      </c>
      <c r="H559" s="41">
        <v>2</v>
      </c>
      <c r="I559" s="117" t="str">
        <f t="shared" ref="I559:I570" si="251">IFERROR(ROUND(L559*M559/10000,4),"")</f>
        <v/>
      </c>
      <c r="J559" s="117" t="str">
        <f t="shared" si="247"/>
        <v/>
      </c>
      <c r="K559" s="52"/>
      <c r="L559" s="53">
        <f t="shared" si="248"/>
        <v>1</v>
      </c>
      <c r="M559" s="69" t="str">
        <f t="shared" si="249"/>
        <v/>
      </c>
      <c r="N559" s="55" t="str">
        <f>IFERROR(VLOOKUP(D559,元件库!$B:$O,10,FALSE),"1.00")</f>
        <v>1.00</v>
      </c>
      <c r="O559" s="337" t="str">
        <f>IFERROR(VLOOKUP(D559,元件库!$B:$O,11,FALSE),"")</f>
        <v/>
      </c>
      <c r="P559" s="57" t="str">
        <f t="shared" si="250"/>
        <v/>
      </c>
      <c r="Q559" s="90"/>
    </row>
    <row r="560" spans="1:17" s="23" customFormat="1" ht="16.5" customHeight="1" x14ac:dyDescent="0.2">
      <c r="A560" s="363">
        <f>COUNTIF(L$1:L560,"!")</f>
        <v>42</v>
      </c>
      <c r="B560" s="364" t="str">
        <f>A560&amp;"."&amp;COUNTIF(A$3:A560,A560)-1</f>
        <v>42.3</v>
      </c>
      <c r="C560" s="100" t="str">
        <f>IFERROR(VLOOKUP(D560,元件库!$B:$O,3,FALSE),"")</f>
        <v/>
      </c>
      <c r="D560" s="41" t="s">
        <v>3019</v>
      </c>
      <c r="E560" s="101" t="s">
        <v>22</v>
      </c>
      <c r="F560" s="101" t="s">
        <v>32</v>
      </c>
      <c r="G560" s="41" t="s">
        <v>29</v>
      </c>
      <c r="H560" s="41">
        <v>4</v>
      </c>
      <c r="I560" s="117" t="str">
        <f t="shared" si="251"/>
        <v/>
      </c>
      <c r="J560" s="117" t="str">
        <f t="shared" si="247"/>
        <v/>
      </c>
      <c r="K560" s="52"/>
      <c r="L560" s="53">
        <f t="shared" si="248"/>
        <v>1</v>
      </c>
      <c r="M560" s="69" t="str">
        <f t="shared" si="249"/>
        <v/>
      </c>
      <c r="N560" s="55" t="str">
        <f>IFERROR(VLOOKUP(D560,元件库!$B:$O,10,FALSE),"1.00")</f>
        <v>1.00</v>
      </c>
      <c r="O560" s="337" t="str">
        <f>IFERROR(VLOOKUP(D560,元件库!$B:$O,11,FALSE),"")</f>
        <v/>
      </c>
      <c r="P560" s="57" t="str">
        <f t="shared" si="250"/>
        <v/>
      </c>
      <c r="Q560" s="90"/>
    </row>
    <row r="561" spans="1:17" s="23" customFormat="1" ht="16.5" customHeight="1" x14ac:dyDescent="0.2">
      <c r="A561" s="363">
        <f>COUNTIF(L$1:L561,"!")</f>
        <v>42</v>
      </c>
      <c r="B561" s="364" t="str">
        <f>A561&amp;"."&amp;COUNTIF(A$3:A561,A561)-1</f>
        <v>42.4</v>
      </c>
      <c r="C561" s="100" t="str">
        <f>IFERROR(VLOOKUP(D561,元件库!$B:$O,3,FALSE),"")</f>
        <v>塑壳断路器</v>
      </c>
      <c r="D561" s="41" t="s">
        <v>3020</v>
      </c>
      <c r="E561" s="101" t="s">
        <v>22</v>
      </c>
      <c r="F561" s="101" t="s">
        <v>28</v>
      </c>
      <c r="G561" s="41" t="s">
        <v>29</v>
      </c>
      <c r="H561" s="41">
        <v>2</v>
      </c>
      <c r="I561" s="117">
        <f t="shared" si="251"/>
        <v>9.98E-2</v>
      </c>
      <c r="J561" s="117">
        <f t="shared" si="247"/>
        <v>0.1996</v>
      </c>
      <c r="K561" s="52"/>
      <c r="L561" s="53">
        <f t="shared" si="248"/>
        <v>1</v>
      </c>
      <c r="M561" s="69">
        <f t="shared" si="249"/>
        <v>998</v>
      </c>
      <c r="N561" s="55">
        <f>IFERROR(VLOOKUP(D561,元件库!$B:$O,10,FALSE),"1.00")</f>
        <v>1</v>
      </c>
      <c r="O561" s="337">
        <f>IFERROR(VLOOKUP(D561,元件库!$B:$O,11,FALSE),"")</f>
        <v>998</v>
      </c>
      <c r="P561" s="57" t="str">
        <f t="shared" si="250"/>
        <v/>
      </c>
      <c r="Q561" s="90"/>
    </row>
    <row r="562" spans="1:17" s="23" customFormat="1" ht="16.5" customHeight="1" x14ac:dyDescent="0.2">
      <c r="A562" s="363">
        <f>COUNTIF(L$1:L562,"!")</f>
        <v>42</v>
      </c>
      <c r="B562" s="364" t="str">
        <f>A562&amp;"."&amp;COUNTIF(A$3:A562,A562)-1</f>
        <v>42.5</v>
      </c>
      <c r="C562" s="100" t="str">
        <f>IFERROR(VLOOKUP(D562,元件库!$B:$O,3,FALSE),"")</f>
        <v>塑壳断路器</v>
      </c>
      <c r="D562" s="41" t="s">
        <v>3021</v>
      </c>
      <c r="E562" s="101" t="s">
        <v>22</v>
      </c>
      <c r="F562" s="101" t="s">
        <v>28</v>
      </c>
      <c r="G562" s="41" t="s">
        <v>29</v>
      </c>
      <c r="H562" s="41">
        <v>4</v>
      </c>
      <c r="I562" s="117">
        <f t="shared" si="251"/>
        <v>7.3499999999999996E-2</v>
      </c>
      <c r="J562" s="117">
        <f t="shared" si="247"/>
        <v>0.29399999999999998</v>
      </c>
      <c r="K562" s="52"/>
      <c r="L562" s="53">
        <f t="shared" si="248"/>
        <v>1</v>
      </c>
      <c r="M562" s="69">
        <f t="shared" si="249"/>
        <v>735</v>
      </c>
      <c r="N562" s="55">
        <f>IFERROR(VLOOKUP(D562,元件库!$B:$O,10,FALSE),"1.00")</f>
        <v>1</v>
      </c>
      <c r="O562" s="337">
        <f>IFERROR(VLOOKUP(D562,元件库!$B:$O,11,FALSE),"")</f>
        <v>735</v>
      </c>
      <c r="P562" s="57" t="str">
        <f t="shared" si="250"/>
        <v/>
      </c>
    </row>
    <row r="563" spans="1:17" s="23" customFormat="1" ht="16.5" customHeight="1" x14ac:dyDescent="0.2">
      <c r="A563" s="363">
        <f>COUNTIF(L$1:L563,"!")</f>
        <v>42</v>
      </c>
      <c r="B563" s="364" t="str">
        <f>A563&amp;"."&amp;COUNTIF(A$3:A563,A563)-1</f>
        <v>42.6</v>
      </c>
      <c r="C563" s="100" t="str">
        <f>IFERROR(VLOOKUP(D563,元件库!$B:$O,3,FALSE),"")</f>
        <v/>
      </c>
      <c r="D563" s="41" t="s">
        <v>2900</v>
      </c>
      <c r="E563" s="101" t="s">
        <v>22</v>
      </c>
      <c r="F563" s="101" t="s">
        <v>32</v>
      </c>
      <c r="G563" s="41" t="s">
        <v>29</v>
      </c>
      <c r="H563" s="41">
        <v>6</v>
      </c>
      <c r="I563" s="117" t="str">
        <f t="shared" si="251"/>
        <v/>
      </c>
      <c r="J563" s="117" t="str">
        <f t="shared" si="247"/>
        <v/>
      </c>
      <c r="K563" s="52"/>
      <c r="L563" s="53">
        <f t="shared" si="248"/>
        <v>1</v>
      </c>
      <c r="M563" s="69" t="str">
        <f t="shared" si="249"/>
        <v/>
      </c>
      <c r="N563" s="55" t="str">
        <f>IFERROR(VLOOKUP(D563,元件库!$B:$O,10,FALSE),"1.00")</f>
        <v>1.00</v>
      </c>
      <c r="O563" s="337" t="str">
        <f>IFERROR(VLOOKUP(D563,元件库!$B:$O,11,FALSE),"")</f>
        <v/>
      </c>
      <c r="P563" s="57" t="str">
        <f t="shared" si="250"/>
        <v/>
      </c>
    </row>
    <row r="564" spans="1:17" s="23" customFormat="1" ht="16.5" customHeight="1" x14ac:dyDescent="0.2">
      <c r="A564" s="363">
        <f>COUNTIF(L$1:L564,"!")</f>
        <v>42</v>
      </c>
      <c r="B564" s="364" t="str">
        <f>A564&amp;"."&amp;COUNTIF(A$3:A564,A564)-1</f>
        <v>42.7</v>
      </c>
      <c r="C564" s="100" t="str">
        <f>IFERROR(VLOOKUP(D564,元件库!$B:$O,3,FALSE),"")</f>
        <v>指示灯</v>
      </c>
      <c r="D564" s="41" t="s">
        <v>35</v>
      </c>
      <c r="E564" s="101" t="s">
        <v>22</v>
      </c>
      <c r="F564" s="101" t="s">
        <v>32</v>
      </c>
      <c r="G564" s="41" t="s">
        <v>29</v>
      </c>
      <c r="H564" s="41">
        <v>6</v>
      </c>
      <c r="I564" s="117">
        <f t="shared" si="251"/>
        <v>2.0000000000000001E-4</v>
      </c>
      <c r="J564" s="117">
        <f t="shared" si="247"/>
        <v>1.2000000000000001E-3</v>
      </c>
      <c r="K564" s="52"/>
      <c r="L564" s="53">
        <f t="shared" si="248"/>
        <v>1</v>
      </c>
      <c r="M564" s="69">
        <f t="shared" si="249"/>
        <v>2.3100000000000005</v>
      </c>
      <c r="N564" s="55">
        <f>IFERROR(VLOOKUP(D564,元件库!$B:$O,10,FALSE),"1.00")</f>
        <v>0.55000000000000004</v>
      </c>
      <c r="O564" s="337">
        <f>IFERROR(VLOOKUP(D564,元件库!$B:$O,11,FALSE),"")</f>
        <v>4.2</v>
      </c>
      <c r="P564" s="57" t="str">
        <f t="shared" si="250"/>
        <v/>
      </c>
    </row>
    <row r="565" spans="1:17" s="23" customFormat="1" ht="16.5" customHeight="1" x14ac:dyDescent="0.2">
      <c r="A565" s="363">
        <f>COUNTIF(L$1:L565,"!")</f>
        <v>42</v>
      </c>
      <c r="B565" s="364" t="str">
        <f>A565&amp;"."&amp;COUNTIF(A$3:A565,A565)-1</f>
        <v>42.8</v>
      </c>
      <c r="C565" s="100" t="str">
        <f>IFERROR(VLOOKUP(D565,元件库!$B:$O,3,FALSE),"")</f>
        <v>铜排</v>
      </c>
      <c r="D565" s="41" t="s">
        <v>3022</v>
      </c>
      <c r="E565" s="101" t="s">
        <v>37</v>
      </c>
      <c r="F565" s="101" t="s">
        <v>38</v>
      </c>
      <c r="G565" s="41" t="s">
        <v>39</v>
      </c>
      <c r="H565" s="41">
        <v>5</v>
      </c>
      <c r="I565" s="117">
        <f t="shared" si="251"/>
        <v>1.2699999999999999E-2</v>
      </c>
      <c r="J565" s="117">
        <f t="shared" si="247"/>
        <v>6.3500000000000001E-2</v>
      </c>
      <c r="K565" s="52"/>
      <c r="L565" s="53">
        <f t="shared" si="248"/>
        <v>1</v>
      </c>
      <c r="M565" s="69">
        <f t="shared" si="249"/>
        <v>126.82499999999999</v>
      </c>
      <c r="N565" s="55">
        <f>IFERROR(VLOOKUP(D565,元件库!$B:$O,10,FALSE),"1.00")</f>
        <v>1</v>
      </c>
      <c r="O565" s="337">
        <f>IFERROR(VLOOKUP(D565,元件库!$B:$O,11,FALSE),"")</f>
        <v>126.82499999999999</v>
      </c>
      <c r="P565" s="57" t="str">
        <f t="shared" si="250"/>
        <v/>
      </c>
    </row>
    <row r="566" spans="1:17" s="23" customFormat="1" ht="16.5" customHeight="1" x14ac:dyDescent="0.2">
      <c r="A566" s="363">
        <f>COUNTIF(L$1:L566,"!")</f>
        <v>42</v>
      </c>
      <c r="B566" s="364" t="str">
        <f>A566&amp;"."&amp;COUNTIF(A$3:A566,A566)-1</f>
        <v>42.9</v>
      </c>
      <c r="C566" s="100" t="str">
        <f>IFERROR(VLOOKUP(D566,元件库!$B:$O,3,FALSE),"")</f>
        <v>铜排</v>
      </c>
      <c r="D566" s="41" t="s">
        <v>3023</v>
      </c>
      <c r="E566" s="101" t="s">
        <v>37</v>
      </c>
      <c r="F566" s="101" t="s">
        <v>38</v>
      </c>
      <c r="G566" s="41" t="s">
        <v>39</v>
      </c>
      <c r="H566" s="41">
        <v>10</v>
      </c>
      <c r="I566" s="117">
        <f t="shared" si="251"/>
        <v>7.6E-3</v>
      </c>
      <c r="J566" s="117">
        <f t="shared" si="247"/>
        <v>7.5999999999999998E-2</v>
      </c>
      <c r="K566" s="52"/>
      <c r="L566" s="53">
        <f t="shared" si="248"/>
        <v>1</v>
      </c>
      <c r="M566" s="69">
        <f t="shared" si="249"/>
        <v>76.094999999999999</v>
      </c>
      <c r="N566" s="55">
        <f>IFERROR(VLOOKUP(D566,元件库!$B:$O,10,FALSE),"1.00")</f>
        <v>1</v>
      </c>
      <c r="O566" s="337">
        <f>IFERROR(VLOOKUP(D566,元件库!$B:$O,11,FALSE),"")</f>
        <v>76.094999999999999</v>
      </c>
      <c r="P566" s="57" t="str">
        <f t="shared" si="250"/>
        <v/>
      </c>
    </row>
    <row r="567" spans="1:17" s="23" customFormat="1" ht="16.5" customHeight="1" x14ac:dyDescent="0.2">
      <c r="A567" s="363">
        <f>COUNTIF(L$1:L567,"!")</f>
        <v>42</v>
      </c>
      <c r="B567" s="364" t="str">
        <f>A567&amp;"."&amp;COUNTIF(A$3:A567,A567)-1</f>
        <v>42.10</v>
      </c>
      <c r="C567" s="100" t="s">
        <v>42</v>
      </c>
      <c r="D567" s="41" t="s">
        <v>3015</v>
      </c>
      <c r="E567" s="101" t="s">
        <v>37</v>
      </c>
      <c r="F567" s="101" t="s">
        <v>38</v>
      </c>
      <c r="G567" s="41" t="s">
        <v>39</v>
      </c>
      <c r="H567" s="41">
        <v>2.4</v>
      </c>
      <c r="I567" s="117">
        <f t="shared" si="251"/>
        <v>4.0599999999999997E-2</v>
      </c>
      <c r="J567" s="117">
        <f t="shared" si="247"/>
        <v>9.7439999999999985E-2</v>
      </c>
      <c r="K567" s="52"/>
      <c r="L567" s="53">
        <f t="shared" si="248"/>
        <v>1</v>
      </c>
      <c r="M567" s="69">
        <f t="shared" si="249"/>
        <v>405.84</v>
      </c>
      <c r="N567" s="55">
        <f>IFERROR(VLOOKUP(D567,元件库!$B:$O,10,FALSE),"1.00")</f>
        <v>1</v>
      </c>
      <c r="O567" s="337">
        <f>IFERROR(VLOOKUP(D567,元件库!$B:$O,11,FALSE),"")</f>
        <v>405.84</v>
      </c>
      <c r="P567" s="57" t="str">
        <f t="shared" si="250"/>
        <v/>
      </c>
      <c r="Q567" s="59" t="str">
        <f>IFERROR(LOOKUP(0,0/((A$2:A565=A567)*(C$2:C565="壳体W*H*D")),D$2:D565),LOOKUP(0,0/((A$2:A565=A567)*(C$2:C565="壳体W*D*H")),D$2:D565))</f>
        <v>GGD-1200*600*2000</v>
      </c>
    </row>
    <row r="568" spans="1:17" s="23" customFormat="1" ht="16.5" customHeight="1" x14ac:dyDescent="0.2">
      <c r="A568" s="363">
        <f>COUNTIF(L$1:L568,"!")</f>
        <v>42</v>
      </c>
      <c r="B568" s="364" t="str">
        <f>A568&amp;"."&amp;COUNTIF(A$3:A568,A568)-1</f>
        <v>42.11</v>
      </c>
      <c r="C568" s="100" t="s">
        <v>44</v>
      </c>
      <c r="D568" s="41" t="s">
        <v>3015</v>
      </c>
      <c r="E568" s="101" t="s">
        <v>37</v>
      </c>
      <c r="F568" s="101" t="s">
        <v>38</v>
      </c>
      <c r="G568" s="41" t="s">
        <v>39</v>
      </c>
      <c r="H568" s="41">
        <v>0.8</v>
      </c>
      <c r="I568" s="117">
        <f t="shared" si="251"/>
        <v>4.0599999999999997E-2</v>
      </c>
      <c r="J568" s="117">
        <f t="shared" si="247"/>
        <v>3.2480000000000002E-2</v>
      </c>
      <c r="K568" s="52"/>
      <c r="L568" s="53">
        <f t="shared" si="248"/>
        <v>1</v>
      </c>
      <c r="M568" s="69">
        <f t="shared" si="249"/>
        <v>405.84</v>
      </c>
      <c r="N568" s="55">
        <f>IFERROR(VLOOKUP(D568,元件库!$B:$O,10,FALSE),"1.00")</f>
        <v>1</v>
      </c>
      <c r="O568" s="337">
        <f>IFERROR(VLOOKUP(D568,元件库!$B:$O,11,FALSE),"")</f>
        <v>405.84</v>
      </c>
      <c r="P568" s="57" t="str">
        <f t="shared" si="250"/>
        <v/>
      </c>
      <c r="Q568" s="59" t="str">
        <f>IFERROR(LOOKUP(0,0/((A$2:A567=A568)*(C$2:C567="壳体W*H*D")),D$2:D567),LOOKUP(0,0/((A$2:A567=A568)*(C$2:C567="壳体W*D*H")),D$2:D567))</f>
        <v>GGD-1200*600*2000</v>
      </c>
    </row>
    <row r="569" spans="1:17" s="23" customFormat="1" ht="16.5" customHeight="1" x14ac:dyDescent="0.2">
      <c r="A569" s="363">
        <f>COUNTIF(L$1:L569,"!")</f>
        <v>42</v>
      </c>
      <c r="B569" s="364" t="str">
        <f>A569&amp;"."&amp;COUNTIF(A$3:A569,A569)-1</f>
        <v>42.12</v>
      </c>
      <c r="C569" s="100" t="s">
        <v>45</v>
      </c>
      <c r="D569" s="41" t="s">
        <v>3024</v>
      </c>
      <c r="E569" s="101" t="s">
        <v>37</v>
      </c>
      <c r="F569" s="101" t="s">
        <v>38</v>
      </c>
      <c r="G569" s="41" t="s">
        <v>39</v>
      </c>
      <c r="H569" s="41">
        <v>0.8</v>
      </c>
      <c r="I569" s="117">
        <f t="shared" si="251"/>
        <v>1.83E-2</v>
      </c>
      <c r="J569" s="117">
        <f t="shared" si="247"/>
        <v>1.464E-2</v>
      </c>
      <c r="K569" s="52"/>
      <c r="L569" s="53">
        <f t="shared" si="248"/>
        <v>1</v>
      </c>
      <c r="M569" s="69">
        <f t="shared" si="249"/>
        <v>182.62799999999999</v>
      </c>
      <c r="N569" s="55">
        <f>IFERROR(VLOOKUP(D569,元件库!$B:$O,10,FALSE),"1.00")</f>
        <v>1</v>
      </c>
      <c r="O569" s="337">
        <f>IFERROR(VLOOKUP(D569,元件库!$B:$O,11,FALSE),"")</f>
        <v>182.62799999999999</v>
      </c>
      <c r="P569" s="57" t="str">
        <f t="shared" si="250"/>
        <v/>
      </c>
      <c r="Q569" s="59" t="str">
        <f>IFERROR(LOOKUP(0,0/((A$2:A568=A569)*(C$2:C568="壳体W*H*D")),D$2:D568),LOOKUP(0,0/((A$2:A568=A569)*(C$2:C568="壳体W*D*H")),D$2:D568))</f>
        <v>GGD-1200*600*2000</v>
      </c>
    </row>
    <row r="570" spans="1:17" s="23" customFormat="1" ht="16.5" customHeight="1" x14ac:dyDescent="0.2">
      <c r="A570" s="363">
        <f>COUNTIF(L$1:L570,"!")</f>
        <v>42</v>
      </c>
      <c r="B570" s="364" t="str">
        <f>A570&amp;"."&amp;COUNTIF(A$3:A570,A570)-1</f>
        <v>42.13</v>
      </c>
      <c r="C570" s="100" t="s">
        <v>51</v>
      </c>
      <c r="D570" s="41"/>
      <c r="E570" s="101"/>
      <c r="F570" s="101"/>
      <c r="G570" s="41" t="s">
        <v>3025</v>
      </c>
      <c r="H570" s="41">
        <v>1</v>
      </c>
      <c r="I570" s="117">
        <f t="shared" si="251"/>
        <v>0.11</v>
      </c>
      <c r="J570" s="117">
        <f t="shared" si="247"/>
        <v>0.11</v>
      </c>
      <c r="K570" s="52"/>
      <c r="L570" s="53">
        <f t="shared" si="248"/>
        <v>1</v>
      </c>
      <c r="M570" s="69">
        <f t="shared" si="249"/>
        <v>1100</v>
      </c>
      <c r="N570" s="55">
        <v>1</v>
      </c>
      <c r="O570" s="337">
        <v>1100</v>
      </c>
      <c r="P570" s="57" t="str">
        <f t="shared" si="250"/>
        <v>值</v>
      </c>
    </row>
    <row r="571" spans="1:17" s="23" customFormat="1" ht="27" customHeight="1" x14ac:dyDescent="0.2">
      <c r="A571" s="363">
        <f>COUNTIF(L$1:L571,"!")</f>
        <v>42</v>
      </c>
      <c r="B571" s="364" t="str">
        <f>A571&amp;"."&amp;COUNTIF(A$3:A571,A571)-1</f>
        <v>42.14</v>
      </c>
      <c r="C571" s="103" t="s">
        <v>53</v>
      </c>
      <c r="D571" s="104"/>
      <c r="E571" s="365"/>
      <c r="F571" s="101"/>
      <c r="G571" s="104"/>
      <c r="H571" s="104" t="s">
        <v>1</v>
      </c>
      <c r="I571" s="118" t="s">
        <v>52</v>
      </c>
      <c r="J571" s="366"/>
      <c r="K571" s="104"/>
      <c r="L571" s="53"/>
      <c r="M571" s="119"/>
      <c r="N571" s="70"/>
      <c r="O571" s="337"/>
    </row>
    <row r="572" spans="1:17" s="30" customFormat="1" ht="27" customHeight="1" x14ac:dyDescent="0.2">
      <c r="A572" s="363">
        <f>COUNTIF(L$1:L572,"!")</f>
        <v>42</v>
      </c>
      <c r="B572" s="364" t="str">
        <f>A572&amp;"."&amp;COUNTIF(A$3:A572,A572)-1</f>
        <v>42.15</v>
      </c>
      <c r="C572" s="103" t="s">
        <v>54</v>
      </c>
      <c r="D572" s="104"/>
      <c r="E572" s="365"/>
      <c r="F572" s="101"/>
      <c r="G572" s="104"/>
      <c r="H572" s="104"/>
      <c r="I572" s="118" t="s">
        <v>1</v>
      </c>
      <c r="J572" s="120">
        <f>SUM(J558:J571)</f>
        <v>1.0738599999999998</v>
      </c>
      <c r="K572" s="104"/>
      <c r="L572" s="53"/>
      <c r="M572" s="119"/>
      <c r="N572" s="70"/>
      <c r="O572" s="337"/>
      <c r="Q572" s="90"/>
    </row>
    <row r="573" spans="1:17" s="23" customFormat="1" ht="16.5" customHeight="1" x14ac:dyDescent="0.15">
      <c r="A573" s="97">
        <f>COUNTIF(L$1:L573,"!")</f>
        <v>43</v>
      </c>
      <c r="B573" s="32" t="str">
        <f>COUNTIF(L$2:L574,"!")&amp;"."</f>
        <v>43.</v>
      </c>
      <c r="C573" s="47" t="s">
        <v>2847</v>
      </c>
      <c r="D573" s="35" t="s">
        <v>2848</v>
      </c>
      <c r="E573" s="367" t="s">
        <v>22</v>
      </c>
      <c r="F573" s="367" t="s">
        <v>3261</v>
      </c>
      <c r="G573" s="34" t="s">
        <v>23</v>
      </c>
      <c r="H573" s="98">
        <v>1</v>
      </c>
      <c r="I573" s="115">
        <f>LOOKUP(0,0/((A573:A593=A573)*(C573:C593="合计金额（单位完整货物单价）")),J573:J593)</f>
        <v>1.31786</v>
      </c>
      <c r="J573" s="116">
        <f>IFERROR(I573*H573,"")</f>
        <v>1.31786</v>
      </c>
      <c r="K573" s="34"/>
      <c r="L573" s="48" t="s">
        <v>24</v>
      </c>
      <c r="M573" s="49"/>
      <c r="N573" s="50"/>
      <c r="O573" s="51"/>
      <c r="Q573" s="360">
        <f>COUNTIF(L$3:L573,"#")</f>
        <v>6</v>
      </c>
    </row>
    <row r="574" spans="1:17" s="23" customFormat="1" ht="16.5" customHeight="1" x14ac:dyDescent="0.2">
      <c r="A574" s="363">
        <f>COUNTIF(L$1:L574,"!")</f>
        <v>43</v>
      </c>
      <c r="B574" s="364" t="str">
        <f>A574&amp;"."&amp;COUNTIF(A$3:A574,A574)-1</f>
        <v>43.1</v>
      </c>
      <c r="C574" s="100" t="s">
        <v>25</v>
      </c>
      <c r="D574" s="41" t="s">
        <v>2337</v>
      </c>
      <c r="E574" s="101" t="s">
        <v>22</v>
      </c>
      <c r="F574" s="101" t="s">
        <v>3261</v>
      </c>
      <c r="G574" s="41" t="s">
        <v>23</v>
      </c>
      <c r="H574" s="41">
        <v>1</v>
      </c>
      <c r="I574" s="117">
        <f>IFERROR(ROUND(L574*M574/10000,4),"")</f>
        <v>0.155</v>
      </c>
      <c r="J574" s="117">
        <f t="shared" ref="J574:J583" si="252">IFERROR(I574*H574,"")</f>
        <v>0.155</v>
      </c>
      <c r="K574" s="52"/>
      <c r="L574" s="53">
        <f t="shared" ref="L574:L591" si="253">L$2</f>
        <v>1</v>
      </c>
      <c r="M574" s="69">
        <f t="shared" ref="M574:M583" si="254">IFERROR(O574*N574,"")</f>
        <v>1550</v>
      </c>
      <c r="N574" s="55">
        <f>IFERROR(VLOOKUP(D574,元件库!$B:$O,10,FALSE),"1.00")</f>
        <v>1</v>
      </c>
      <c r="O574" s="337">
        <f>IFERROR(VLOOKUP(D574,元件库!$B:$O,11,FALSE),"")</f>
        <v>1550</v>
      </c>
      <c r="P574" s="57" t="str">
        <f t="shared" ref="P574:P583" si="255">IF(_xlfn.ISFORMULA(O574),"","值")</f>
        <v/>
      </c>
      <c r="Q574" s="90"/>
    </row>
    <row r="575" spans="1:17" s="23" customFormat="1" ht="16.5" customHeight="1" x14ac:dyDescent="0.2">
      <c r="A575" s="363">
        <f>COUNTIF(L$1:L575,"!")</f>
        <v>43</v>
      </c>
      <c r="B575" s="364" t="str">
        <f>A575&amp;"."&amp;COUNTIF(A$3:A575,A575)-1</f>
        <v>43.2</v>
      </c>
      <c r="C575" s="100" t="str">
        <f>IFERROR(VLOOKUP(D575,元件库!$B:$O,3,FALSE),"")</f>
        <v>刀开关</v>
      </c>
      <c r="D575" s="41" t="s">
        <v>2896</v>
      </c>
      <c r="E575" s="101" t="s">
        <v>22</v>
      </c>
      <c r="F575" s="101" t="s">
        <v>32</v>
      </c>
      <c r="G575" s="41" t="s">
        <v>29</v>
      </c>
      <c r="H575" s="41">
        <v>1</v>
      </c>
      <c r="I575" s="117">
        <f>IFERROR(ROUND(L575*M575/10000,4),"")</f>
        <v>1.9300000000000001E-2</v>
      </c>
      <c r="J575" s="117">
        <f t="shared" si="252"/>
        <v>1.9300000000000001E-2</v>
      </c>
      <c r="K575" s="52"/>
      <c r="L575" s="53">
        <f t="shared" si="253"/>
        <v>1</v>
      </c>
      <c r="M575" s="69">
        <f t="shared" si="254"/>
        <v>192.50000000000003</v>
      </c>
      <c r="N575" s="55">
        <f>IFERROR(VLOOKUP(D575,元件库!$B:$O,10,FALSE),"1.00")</f>
        <v>0.55000000000000004</v>
      </c>
      <c r="O575" s="337">
        <f>IFERROR(VLOOKUP(D575,元件库!$B:$O,11,FALSE),"")</f>
        <v>350</v>
      </c>
      <c r="P575" s="57" t="str">
        <f t="shared" si="255"/>
        <v/>
      </c>
      <c r="Q575" s="90"/>
    </row>
    <row r="576" spans="1:17" s="23" customFormat="1" ht="16.5" customHeight="1" x14ac:dyDescent="0.2">
      <c r="A576" s="363">
        <f>COUNTIF(L$1:L576,"!")</f>
        <v>43</v>
      </c>
      <c r="B576" s="364" t="str">
        <f>A576&amp;"."&amp;COUNTIF(A$3:A576,A576)-1</f>
        <v>43.3</v>
      </c>
      <c r="C576" s="100" t="str">
        <f>IFERROR(VLOOKUP(D576,元件库!$B:$O,3,FALSE),"")</f>
        <v/>
      </c>
      <c r="D576" s="41" t="s">
        <v>31</v>
      </c>
      <c r="E576" s="101" t="s">
        <v>22</v>
      </c>
      <c r="F576" s="101" t="s">
        <v>32</v>
      </c>
      <c r="G576" s="41" t="s">
        <v>29</v>
      </c>
      <c r="H576" s="41">
        <v>3</v>
      </c>
      <c r="I576" s="117" t="str">
        <f t="shared" ref="I576:I583" si="256">IFERROR(ROUND(L576*M576/10000,4),"")</f>
        <v/>
      </c>
      <c r="J576" s="117" t="str">
        <f t="shared" si="252"/>
        <v/>
      </c>
      <c r="K576" s="52"/>
      <c r="L576" s="53">
        <f t="shared" si="253"/>
        <v>1</v>
      </c>
      <c r="M576" s="69" t="str">
        <f t="shared" si="254"/>
        <v/>
      </c>
      <c r="N576" s="55" t="str">
        <f>IFERROR(VLOOKUP(D576,元件库!$B:$O,10,FALSE),"1.00")</f>
        <v>1.00</v>
      </c>
      <c r="O576" s="337" t="str">
        <f>IFERROR(VLOOKUP(D576,元件库!$B:$O,11,FALSE),"")</f>
        <v/>
      </c>
      <c r="P576" s="57" t="str">
        <f t="shared" si="255"/>
        <v/>
      </c>
      <c r="Q576" s="90"/>
    </row>
    <row r="577" spans="1:17" s="23" customFormat="1" ht="16.5" customHeight="1" x14ac:dyDescent="0.2">
      <c r="A577" s="363">
        <f>COUNTIF(L$1:L577,"!")</f>
        <v>43</v>
      </c>
      <c r="B577" s="364" t="str">
        <f>A577&amp;"."&amp;COUNTIF(A$3:A577,A577)-1</f>
        <v>43.4</v>
      </c>
      <c r="C577" s="100" t="str">
        <f>IFERROR(VLOOKUP(D577,元件库!$B:$O,3,FALSE),"")</f>
        <v>电流.电压表</v>
      </c>
      <c r="D577" s="41" t="s">
        <v>145</v>
      </c>
      <c r="E577" s="101" t="s">
        <v>22</v>
      </c>
      <c r="F577" s="101" t="s">
        <v>32</v>
      </c>
      <c r="G577" s="41" t="s">
        <v>29</v>
      </c>
      <c r="H577" s="41">
        <v>3</v>
      </c>
      <c r="I577" s="117">
        <f t="shared" si="256"/>
        <v>1.4E-3</v>
      </c>
      <c r="J577" s="117">
        <f t="shared" si="252"/>
        <v>4.1999999999999997E-3</v>
      </c>
      <c r="K577" s="52"/>
      <c r="L577" s="53">
        <f t="shared" si="253"/>
        <v>1</v>
      </c>
      <c r="M577" s="69">
        <f t="shared" si="254"/>
        <v>13.750000000000002</v>
      </c>
      <c r="N577" s="55">
        <f>IFERROR(VLOOKUP(D577,元件库!$B:$O,10,FALSE),"1.00")</f>
        <v>0.55000000000000004</v>
      </c>
      <c r="O577" s="337">
        <f>IFERROR(VLOOKUP(D577,元件库!$B:$O,11,FALSE),"")</f>
        <v>25</v>
      </c>
      <c r="P577" s="57" t="str">
        <f t="shared" si="255"/>
        <v/>
      </c>
      <c r="Q577" s="90"/>
    </row>
    <row r="578" spans="1:17" s="23" customFormat="1" ht="16.5" customHeight="1" x14ac:dyDescent="0.2">
      <c r="A578" s="363">
        <f>COUNTIF(L$1:L578,"!")</f>
        <v>43</v>
      </c>
      <c r="B578" s="364" t="str">
        <f>A578&amp;"."&amp;COUNTIF(A$3:A578,A578)-1</f>
        <v>43.5</v>
      </c>
      <c r="C578" s="100" t="str">
        <f>IFERROR(VLOOKUP(D578,元件库!$B:$O,3,FALSE),"")</f>
        <v>电流.电压表</v>
      </c>
      <c r="D578" s="41" t="s">
        <v>150</v>
      </c>
      <c r="E578" s="101" t="s">
        <v>22</v>
      </c>
      <c r="F578" s="101" t="s">
        <v>32</v>
      </c>
      <c r="G578" s="41" t="s">
        <v>29</v>
      </c>
      <c r="H578" s="41">
        <v>1</v>
      </c>
      <c r="I578" s="117">
        <f t="shared" si="256"/>
        <v>1.4E-3</v>
      </c>
      <c r="J578" s="117">
        <f t="shared" si="252"/>
        <v>1.4E-3</v>
      </c>
      <c r="K578" s="52"/>
      <c r="L578" s="53">
        <f t="shared" si="253"/>
        <v>1</v>
      </c>
      <c r="M578" s="69">
        <f t="shared" si="254"/>
        <v>13.750000000000002</v>
      </c>
      <c r="N578" s="55">
        <f>IFERROR(VLOOKUP(D578,元件库!$B:$O,10,FALSE),"1.00")</f>
        <v>0.55000000000000004</v>
      </c>
      <c r="O578" s="337">
        <f>IFERROR(VLOOKUP(D578,元件库!$B:$O,11,FALSE),"")</f>
        <v>25</v>
      </c>
      <c r="P578" s="57" t="str">
        <f t="shared" si="255"/>
        <v/>
      </c>
    </row>
    <row r="579" spans="1:17" s="23" customFormat="1" ht="16.5" customHeight="1" x14ac:dyDescent="0.2">
      <c r="A579" s="363">
        <f>COUNTIF(L$1:L579,"!")</f>
        <v>43</v>
      </c>
      <c r="B579" s="364" t="str">
        <f>A579&amp;"."&amp;COUNTIF(A$3:A579,A579)-1</f>
        <v>43.6</v>
      </c>
      <c r="C579" s="100" t="str">
        <f>IFERROR(VLOOKUP(D579,元件库!$B:$O,3,FALSE),"")</f>
        <v/>
      </c>
      <c r="D579" s="41" t="s">
        <v>2897</v>
      </c>
      <c r="E579" s="101" t="s">
        <v>22</v>
      </c>
      <c r="F579" s="101" t="s">
        <v>32</v>
      </c>
      <c r="G579" s="41" t="s">
        <v>29</v>
      </c>
      <c r="H579" s="41">
        <v>1</v>
      </c>
      <c r="I579" s="117" t="str">
        <f t="shared" si="256"/>
        <v/>
      </c>
      <c r="J579" s="117" t="str">
        <f t="shared" si="252"/>
        <v/>
      </c>
      <c r="K579" s="52"/>
      <c r="L579" s="53">
        <f t="shared" si="253"/>
        <v>1</v>
      </c>
      <c r="M579" s="69" t="str">
        <f t="shared" si="254"/>
        <v/>
      </c>
      <c r="N579" s="55" t="str">
        <f>IFERROR(VLOOKUP(D579,元件库!$B:$O,10,FALSE),"1.00")</f>
        <v>1.00</v>
      </c>
      <c r="O579" s="337" t="str">
        <f>IFERROR(VLOOKUP(D579,元件库!$B:$O,11,FALSE),"")</f>
        <v/>
      </c>
      <c r="P579" s="57" t="str">
        <f t="shared" si="255"/>
        <v/>
      </c>
    </row>
    <row r="580" spans="1:17" s="23" customFormat="1" ht="16.5" customHeight="1" x14ac:dyDescent="0.2">
      <c r="A580" s="363">
        <f>COUNTIF(L$1:L580,"!")</f>
        <v>43</v>
      </c>
      <c r="B580" s="364" t="str">
        <f>A580&amp;"."&amp;COUNTIF(A$3:A580,A580)-1</f>
        <v>43.7</v>
      </c>
      <c r="C580" s="100" t="str">
        <f>IFERROR(VLOOKUP(D580,元件库!$B:$O,3,FALSE),"")</f>
        <v>智能电容器</v>
      </c>
      <c r="D580" s="41" t="s">
        <v>2898</v>
      </c>
      <c r="E580" s="101" t="s">
        <v>22</v>
      </c>
      <c r="F580" s="101" t="s">
        <v>1467</v>
      </c>
      <c r="G580" s="41" t="s">
        <v>29</v>
      </c>
      <c r="H580" s="41">
        <v>6</v>
      </c>
      <c r="I580" s="117">
        <f t="shared" si="256"/>
        <v>5.3999999999999999E-2</v>
      </c>
      <c r="J580" s="117">
        <f t="shared" si="252"/>
        <v>0.32400000000000001</v>
      </c>
      <c r="K580" s="52"/>
      <c r="L580" s="53">
        <f t="shared" si="253"/>
        <v>1</v>
      </c>
      <c r="M580" s="69">
        <f t="shared" si="254"/>
        <v>540</v>
      </c>
      <c r="N580" s="55">
        <f>IFERROR(VLOOKUP(D580,元件库!$B:$O,10,FALSE),"1.00")</f>
        <v>1</v>
      </c>
      <c r="O580" s="337">
        <f>IFERROR(VLOOKUP(D580,元件库!$B:$O,11,FALSE),"")</f>
        <v>540</v>
      </c>
      <c r="P580" s="57" t="str">
        <f t="shared" si="255"/>
        <v/>
      </c>
    </row>
    <row r="581" spans="1:17" s="23" customFormat="1" ht="16.5" customHeight="1" x14ac:dyDescent="0.2">
      <c r="A581" s="363">
        <f>COUNTIF(L$1:L581,"!")</f>
        <v>43</v>
      </c>
      <c r="B581" s="364" t="str">
        <f>A581&amp;"."&amp;COUNTIF(A$3:A581,A581)-1</f>
        <v>43.8</v>
      </c>
      <c r="C581" s="100" t="str">
        <f>IFERROR(VLOOKUP(D581,元件库!$B:$O,3,FALSE),"")</f>
        <v>智能电容器</v>
      </c>
      <c r="D581" s="41" t="s">
        <v>3026</v>
      </c>
      <c r="E581" s="101" t="s">
        <v>22</v>
      </c>
      <c r="F581" s="101" t="s">
        <v>1467</v>
      </c>
      <c r="G581" s="41" t="s">
        <v>29</v>
      </c>
      <c r="H581" s="41">
        <v>8</v>
      </c>
      <c r="I581" s="117">
        <f t="shared" si="256"/>
        <v>5.3999999999999999E-2</v>
      </c>
      <c r="J581" s="117">
        <f t="shared" si="252"/>
        <v>0.432</v>
      </c>
      <c r="K581" s="52"/>
      <c r="L581" s="53">
        <f t="shared" si="253"/>
        <v>1</v>
      </c>
      <c r="M581" s="69">
        <f t="shared" si="254"/>
        <v>540</v>
      </c>
      <c r="N581" s="55">
        <f>IFERROR(VLOOKUP(D581,元件库!$B:$O,10,FALSE),"1.00")</f>
        <v>1</v>
      </c>
      <c r="O581" s="337">
        <f>IFERROR(VLOOKUP(D581,元件库!$B:$O,11,FALSE),"")</f>
        <v>540</v>
      </c>
      <c r="P581" s="57" t="str">
        <f t="shared" si="255"/>
        <v/>
      </c>
    </row>
    <row r="582" spans="1:17" s="23" customFormat="1" ht="16.5" customHeight="1" x14ac:dyDescent="0.2">
      <c r="A582" s="363">
        <f>COUNTIF(L$1:L582,"!")</f>
        <v>43</v>
      </c>
      <c r="B582" s="364" t="str">
        <f>A582&amp;"."&amp;COUNTIF(A$3:A582,A582)-1</f>
        <v>43.9</v>
      </c>
      <c r="C582" s="100" t="str">
        <f>IFERROR(VLOOKUP(D582,元件库!$B:$O,3,FALSE),"")</f>
        <v>补偿控制器</v>
      </c>
      <c r="D582" s="41" t="s">
        <v>1481</v>
      </c>
      <c r="E582" s="101" t="s">
        <v>22</v>
      </c>
      <c r="F582" s="101" t="s">
        <v>1467</v>
      </c>
      <c r="G582" s="41" t="s">
        <v>29</v>
      </c>
      <c r="H582" s="41">
        <v>1</v>
      </c>
      <c r="I582" s="117">
        <f t="shared" si="256"/>
        <v>3.6999999999999998E-2</v>
      </c>
      <c r="J582" s="117">
        <f t="shared" si="252"/>
        <v>3.6999999999999998E-2</v>
      </c>
      <c r="K582" s="52"/>
      <c r="L582" s="53">
        <f t="shared" si="253"/>
        <v>1</v>
      </c>
      <c r="M582" s="69">
        <f t="shared" si="254"/>
        <v>370</v>
      </c>
      <c r="N582" s="55">
        <f>IFERROR(VLOOKUP(D582,元件库!$B:$O,10,FALSE),"1.00")</f>
        <v>1</v>
      </c>
      <c r="O582" s="337">
        <f>IFERROR(VLOOKUP(D582,元件库!$B:$O,11,FALSE),"")</f>
        <v>370</v>
      </c>
      <c r="P582" s="57" t="str">
        <f t="shared" si="255"/>
        <v/>
      </c>
    </row>
    <row r="583" spans="1:17" s="23" customFormat="1" ht="16.5" customHeight="1" x14ac:dyDescent="0.2">
      <c r="A583" s="363">
        <f>COUNTIF(L$1:L583,"!")</f>
        <v>43</v>
      </c>
      <c r="B583" s="364" t="str">
        <f>A583&amp;"."&amp;COUNTIF(A$3:A583,A583)-1</f>
        <v>43.10</v>
      </c>
      <c r="C583" s="100" t="str">
        <f>IFERROR(VLOOKUP(D583,元件库!$B:$O,3,FALSE),"")</f>
        <v>浪涌保护器</v>
      </c>
      <c r="D583" s="41" t="s">
        <v>1452</v>
      </c>
      <c r="E583" s="101" t="s">
        <v>22</v>
      </c>
      <c r="F583" s="101" t="s">
        <v>67</v>
      </c>
      <c r="G583" s="41" t="s">
        <v>29</v>
      </c>
      <c r="H583" s="41">
        <v>1</v>
      </c>
      <c r="I583" s="117">
        <f t="shared" si="256"/>
        <v>1.9E-2</v>
      </c>
      <c r="J583" s="117">
        <f t="shared" si="252"/>
        <v>1.9E-2</v>
      </c>
      <c r="K583" s="52"/>
      <c r="L583" s="53">
        <f t="shared" si="253"/>
        <v>1</v>
      </c>
      <c r="M583" s="69">
        <f t="shared" si="254"/>
        <v>190</v>
      </c>
      <c r="N583" s="55">
        <f>IFERROR(VLOOKUP(D583,元件库!$B:$O,10,FALSE),"1.00")</f>
        <v>1</v>
      </c>
      <c r="O583" s="337">
        <f>IFERROR(VLOOKUP(D583,元件库!$B:$O,11,FALSE),"")</f>
        <v>190</v>
      </c>
      <c r="P583" s="57" t="str">
        <f t="shared" si="255"/>
        <v/>
      </c>
    </row>
    <row r="584" spans="1:17" s="23" customFormat="1" ht="16.5" customHeight="1" x14ac:dyDescent="0.2">
      <c r="A584" s="363">
        <f>COUNTIF(L$1:L584,"!")</f>
        <v>43</v>
      </c>
      <c r="B584" s="364" t="str">
        <f>A584&amp;"."&amp;COUNTIF(A$3:A584,A584)-1</f>
        <v>43.11</v>
      </c>
      <c r="C584" s="100" t="str">
        <f>IFERROR(VLOOKUP(D584,元件库!$B:$O,3,FALSE),"")</f>
        <v/>
      </c>
      <c r="D584" s="41" t="s">
        <v>65</v>
      </c>
      <c r="E584" s="101" t="s">
        <v>22</v>
      </c>
      <c r="F584" s="101" t="s">
        <v>32</v>
      </c>
      <c r="G584" s="41" t="s">
        <v>29</v>
      </c>
      <c r="H584" s="41">
        <v>4</v>
      </c>
      <c r="I584" s="117" t="str">
        <f>IFERROR(ROUND(L584*M584/10000,4),"")</f>
        <v/>
      </c>
      <c r="J584" s="117" t="str">
        <f>IFERROR(I584*H584,"")</f>
        <v/>
      </c>
      <c r="K584" s="52"/>
      <c r="L584" s="53">
        <f t="shared" si="253"/>
        <v>1</v>
      </c>
      <c r="M584" s="69" t="str">
        <f>IFERROR(O584*N584,"")</f>
        <v/>
      </c>
      <c r="N584" s="55" t="str">
        <f>IFERROR(VLOOKUP(D584,元件库!$B:$O,10,FALSE),"1.00")</f>
        <v>1.00</v>
      </c>
      <c r="O584" s="337" t="str">
        <f>IFERROR(VLOOKUP(D584,元件库!$B:$O,11,FALSE),"")</f>
        <v/>
      </c>
      <c r="P584" s="57" t="str">
        <f>IF(_xlfn.ISFORMULA(O584),"","值")</f>
        <v/>
      </c>
    </row>
    <row r="585" spans="1:17" s="23" customFormat="1" ht="16.5" customHeight="1" x14ac:dyDescent="0.2">
      <c r="A585" s="363">
        <f>COUNTIF(L$1:L585,"!")</f>
        <v>43</v>
      </c>
      <c r="B585" s="364" t="str">
        <f>A585&amp;"."&amp;COUNTIF(A$3:A585,A585)-1</f>
        <v>43.12</v>
      </c>
      <c r="C585" s="100" t="str">
        <f>IFERROR(VLOOKUP(D585,元件库!$B:$O,3,FALSE),"")</f>
        <v/>
      </c>
      <c r="D585" s="41" t="s">
        <v>2900</v>
      </c>
      <c r="E585" s="101" t="s">
        <v>22</v>
      </c>
      <c r="F585" s="101" t="s">
        <v>32</v>
      </c>
      <c r="G585" s="41" t="s">
        <v>29</v>
      </c>
      <c r="H585" s="41">
        <v>18</v>
      </c>
      <c r="I585" s="117" t="str">
        <f>IFERROR(ROUND(L585*M585/10000,4),"")</f>
        <v/>
      </c>
      <c r="J585" s="117" t="str">
        <f>IFERROR(I585*H585,"")</f>
        <v/>
      </c>
      <c r="K585" s="52"/>
      <c r="L585" s="53">
        <f t="shared" si="253"/>
        <v>1</v>
      </c>
      <c r="M585" s="69" t="str">
        <f>IFERROR(O585*N585,"")</f>
        <v/>
      </c>
      <c r="N585" s="55" t="str">
        <f>IFERROR(VLOOKUP(D585,元件库!$B:$O,10,FALSE),"1.00")</f>
        <v>1.00</v>
      </c>
      <c r="O585" s="337" t="str">
        <f>IFERROR(VLOOKUP(D585,元件库!$B:$O,11,FALSE),"")</f>
        <v/>
      </c>
      <c r="P585" s="57" t="str">
        <f>IF(_xlfn.ISFORMULA(O585),"","值")</f>
        <v/>
      </c>
    </row>
    <row r="586" spans="1:17" s="23" customFormat="1" ht="16.5" customHeight="1" x14ac:dyDescent="0.2">
      <c r="A586" s="363">
        <f>COUNTIF(L$1:L586,"!")</f>
        <v>43</v>
      </c>
      <c r="B586" s="364" t="str">
        <f>A586&amp;"."&amp;COUNTIF(A$3:A586,A586)-1</f>
        <v>43.13</v>
      </c>
      <c r="C586" s="100" t="str">
        <f>IFERROR(VLOOKUP(D586,元件库!$B:$O,3,FALSE),"")</f>
        <v>指示灯</v>
      </c>
      <c r="D586" s="41" t="s">
        <v>35</v>
      </c>
      <c r="E586" s="101" t="s">
        <v>22</v>
      </c>
      <c r="F586" s="101" t="s">
        <v>32</v>
      </c>
      <c r="G586" s="41" t="s">
        <v>29</v>
      </c>
      <c r="H586" s="41">
        <v>14</v>
      </c>
      <c r="I586" s="117">
        <f>IFERROR(ROUND(L586*M586/10000,4),"")</f>
        <v>2.0000000000000001E-4</v>
      </c>
      <c r="J586" s="117">
        <f>IFERROR(I586*H586,"")</f>
        <v>2.8E-3</v>
      </c>
      <c r="K586" s="52"/>
      <c r="L586" s="53">
        <f t="shared" si="253"/>
        <v>1</v>
      </c>
      <c r="M586" s="69">
        <f>IFERROR(O586*N586,"")</f>
        <v>2.3100000000000005</v>
      </c>
      <c r="N586" s="55">
        <f>IFERROR(VLOOKUP(D586,元件库!$B:$O,10,FALSE),"1.00")</f>
        <v>0.55000000000000004</v>
      </c>
      <c r="O586" s="337">
        <f>IFERROR(VLOOKUP(D586,元件库!$B:$O,11,FALSE),"")</f>
        <v>4.2</v>
      </c>
      <c r="P586" s="57" t="str">
        <f>IF(_xlfn.ISFORMULA(O586),"","值")</f>
        <v/>
      </c>
    </row>
    <row r="587" spans="1:17" s="23" customFormat="1" ht="16.5" customHeight="1" x14ac:dyDescent="0.2">
      <c r="A587" s="363">
        <f>COUNTIF(L$1:L587,"!")</f>
        <v>43</v>
      </c>
      <c r="B587" s="364" t="str">
        <f>A587&amp;"."&amp;COUNTIF(A$3:A587,A587)-1</f>
        <v>43.14</v>
      </c>
      <c r="C587" s="100" t="str">
        <f>IFERROR(VLOOKUP(D587,元件库!$B:$O,3,FALSE),"")</f>
        <v>铜排</v>
      </c>
      <c r="D587" s="41" t="s">
        <v>2334</v>
      </c>
      <c r="E587" s="101" t="s">
        <v>37</v>
      </c>
      <c r="F587" s="101" t="s">
        <v>38</v>
      </c>
      <c r="G587" s="41" t="s">
        <v>39</v>
      </c>
      <c r="H587" s="41">
        <v>6</v>
      </c>
      <c r="I587" s="117">
        <f t="shared" ref="I587:I591" si="257">IFERROR(ROUND(L587*M587/10000,4),"")</f>
        <v>8.0999999999999996E-3</v>
      </c>
      <c r="J587" s="117">
        <f t="shared" ref="J587:J591" si="258">IFERROR(I587*H587,"")</f>
        <v>4.8599999999999997E-2</v>
      </c>
      <c r="K587" s="52"/>
      <c r="L587" s="53">
        <f t="shared" si="253"/>
        <v>1</v>
      </c>
      <c r="M587" s="69">
        <f t="shared" ref="M587:M591" si="259">IFERROR(O587*N587,"")</f>
        <v>81.167999999999992</v>
      </c>
      <c r="N587" s="55">
        <f>IFERROR(VLOOKUP(D587,元件库!$B:$O,10,FALSE),"1.00")</f>
        <v>1</v>
      </c>
      <c r="O587" s="337">
        <f>IFERROR(VLOOKUP(D587,元件库!$B:$O,11,FALSE),"")</f>
        <v>81.167999999999992</v>
      </c>
      <c r="P587" s="57" t="str">
        <f t="shared" ref="P587:P591" si="260">IF(_xlfn.ISFORMULA(O587),"","值")</f>
        <v/>
      </c>
    </row>
    <row r="588" spans="1:17" s="23" customFormat="1" ht="16.5" customHeight="1" x14ac:dyDescent="0.2">
      <c r="A588" s="363">
        <f>COUNTIF(L$1:L588,"!")</f>
        <v>43</v>
      </c>
      <c r="B588" s="364" t="str">
        <f>A588&amp;"."&amp;COUNTIF(A$3:A588,A588)-1</f>
        <v>43.15</v>
      </c>
      <c r="C588" s="100" t="s">
        <v>42</v>
      </c>
      <c r="D588" s="41" t="s">
        <v>2901</v>
      </c>
      <c r="E588" s="101" t="s">
        <v>37</v>
      </c>
      <c r="F588" s="101" t="s">
        <v>38</v>
      </c>
      <c r="G588" s="41" t="s">
        <v>39</v>
      </c>
      <c r="H588" s="41">
        <v>2.4</v>
      </c>
      <c r="I588" s="117">
        <f t="shared" si="257"/>
        <v>4.0599999999999997E-2</v>
      </c>
      <c r="J588" s="117">
        <f t="shared" si="258"/>
        <v>9.7439999999999985E-2</v>
      </c>
      <c r="K588" s="52"/>
      <c r="L588" s="53">
        <f t="shared" si="253"/>
        <v>1</v>
      </c>
      <c r="M588" s="69">
        <f t="shared" si="259"/>
        <v>405.84</v>
      </c>
      <c r="N588" s="55">
        <f>IFERROR(VLOOKUP(D588,元件库!$B:$O,10,FALSE),"1.00")</f>
        <v>1</v>
      </c>
      <c r="O588" s="337">
        <f>IFERROR(VLOOKUP(D588,元件库!$B:$O,11,FALSE),"")</f>
        <v>405.84</v>
      </c>
      <c r="P588" s="57" t="str">
        <f t="shared" si="260"/>
        <v/>
      </c>
    </row>
    <row r="589" spans="1:17" s="23" customFormat="1" ht="16.5" customHeight="1" x14ac:dyDescent="0.2">
      <c r="A589" s="363">
        <f>COUNTIF(L$1:L589,"!")</f>
        <v>43</v>
      </c>
      <c r="B589" s="364" t="str">
        <f>A589&amp;"."&amp;COUNTIF(A$3:A589,A589)-1</f>
        <v>43.16</v>
      </c>
      <c r="C589" s="100" t="s">
        <v>44</v>
      </c>
      <c r="D589" s="41" t="s">
        <v>2901</v>
      </c>
      <c r="E589" s="101" t="s">
        <v>37</v>
      </c>
      <c r="F589" s="101" t="s">
        <v>38</v>
      </c>
      <c r="G589" s="41" t="s">
        <v>39</v>
      </c>
      <c r="H589" s="41">
        <v>0.8</v>
      </c>
      <c r="I589" s="117">
        <f t="shared" si="257"/>
        <v>4.0599999999999997E-2</v>
      </c>
      <c r="J589" s="117">
        <f t="shared" si="258"/>
        <v>3.2480000000000002E-2</v>
      </c>
      <c r="K589" s="52"/>
      <c r="L589" s="53">
        <f t="shared" si="253"/>
        <v>1</v>
      </c>
      <c r="M589" s="69">
        <f t="shared" si="259"/>
        <v>405.84</v>
      </c>
      <c r="N589" s="55">
        <f>IFERROR(VLOOKUP(D589,元件库!$B:$O,10,FALSE),"1.00")</f>
        <v>1</v>
      </c>
      <c r="O589" s="337">
        <f>IFERROR(VLOOKUP(D589,元件库!$B:$O,11,FALSE),"")</f>
        <v>405.84</v>
      </c>
      <c r="P589" s="57" t="str">
        <f t="shared" si="260"/>
        <v/>
      </c>
    </row>
    <row r="590" spans="1:17" s="23" customFormat="1" ht="16.5" customHeight="1" x14ac:dyDescent="0.2">
      <c r="A590" s="363">
        <f>COUNTIF(L$1:L590,"!")</f>
        <v>43</v>
      </c>
      <c r="B590" s="364" t="str">
        <f>A590&amp;"."&amp;COUNTIF(A$3:A590,A590)-1</f>
        <v>43.17</v>
      </c>
      <c r="C590" s="100" t="s">
        <v>45</v>
      </c>
      <c r="D590" s="41" t="s">
        <v>2902</v>
      </c>
      <c r="E590" s="101" t="s">
        <v>37</v>
      </c>
      <c r="F590" s="101" t="s">
        <v>38</v>
      </c>
      <c r="G590" s="41" t="s">
        <v>39</v>
      </c>
      <c r="H590" s="41">
        <v>0.8</v>
      </c>
      <c r="I590" s="117">
        <f t="shared" si="257"/>
        <v>1.83E-2</v>
      </c>
      <c r="J590" s="117">
        <f t="shared" si="258"/>
        <v>1.464E-2</v>
      </c>
      <c r="K590" s="52"/>
      <c r="L590" s="53">
        <f t="shared" si="253"/>
        <v>1</v>
      </c>
      <c r="M590" s="69">
        <f t="shared" si="259"/>
        <v>182.62799999999999</v>
      </c>
      <c r="N590" s="55">
        <f>IFERROR(VLOOKUP(D590,元件库!$B:$O,10,FALSE),"1.00")</f>
        <v>1</v>
      </c>
      <c r="O590" s="337">
        <f>IFERROR(VLOOKUP(D590,元件库!$B:$O,11,FALSE),"")</f>
        <v>182.62799999999999</v>
      </c>
      <c r="P590" s="57" t="str">
        <f t="shared" si="260"/>
        <v/>
      </c>
    </row>
    <row r="591" spans="1:17" s="23" customFormat="1" ht="16.5" customHeight="1" x14ac:dyDescent="0.2">
      <c r="A591" s="363">
        <f>COUNTIF(L$1:L591,"!")</f>
        <v>43</v>
      </c>
      <c r="B591" s="364" t="str">
        <f>A591&amp;"."&amp;COUNTIF(A$3:A591,A591)-1</f>
        <v>43.18</v>
      </c>
      <c r="C591" s="100" t="s">
        <v>51</v>
      </c>
      <c r="D591" s="41"/>
      <c r="E591" s="101"/>
      <c r="F591" s="101"/>
      <c r="G591" s="41" t="s">
        <v>2871</v>
      </c>
      <c r="H591" s="41">
        <v>1</v>
      </c>
      <c r="I591" s="117">
        <f t="shared" si="257"/>
        <v>0.13</v>
      </c>
      <c r="J591" s="117">
        <f t="shared" si="258"/>
        <v>0.13</v>
      </c>
      <c r="K591" s="52"/>
      <c r="L591" s="53">
        <f t="shared" si="253"/>
        <v>1</v>
      </c>
      <c r="M591" s="69">
        <f t="shared" si="259"/>
        <v>1300</v>
      </c>
      <c r="N591" s="55">
        <v>1</v>
      </c>
      <c r="O591" s="337">
        <v>1300</v>
      </c>
      <c r="P591" s="57" t="str">
        <f t="shared" si="260"/>
        <v>值</v>
      </c>
    </row>
    <row r="592" spans="1:17" s="23" customFormat="1" ht="27" customHeight="1" x14ac:dyDescent="0.2">
      <c r="A592" s="363">
        <f>COUNTIF(L$1:L592,"!")</f>
        <v>43</v>
      </c>
      <c r="B592" s="364" t="str">
        <f>A592&amp;"."&amp;COUNTIF(A$3:A592,A592)-1</f>
        <v>43.19</v>
      </c>
      <c r="C592" s="103" t="s">
        <v>53</v>
      </c>
      <c r="D592" s="104"/>
      <c r="E592" s="365"/>
      <c r="F592" s="101"/>
      <c r="G592" s="104"/>
      <c r="H592" s="104" t="s">
        <v>1</v>
      </c>
      <c r="I592" s="118" t="s">
        <v>52</v>
      </c>
      <c r="J592" s="366"/>
      <c r="K592" s="104"/>
      <c r="L592" s="53"/>
      <c r="M592" s="119"/>
      <c r="N592" s="70"/>
      <c r="O592" s="337"/>
    </row>
    <row r="593" spans="1:19" s="30" customFormat="1" ht="27" customHeight="1" x14ac:dyDescent="0.2">
      <c r="A593" s="363">
        <f>COUNTIF(L$1:L593,"!")</f>
        <v>43</v>
      </c>
      <c r="B593" s="364" t="str">
        <f>A593&amp;"."&amp;COUNTIF(A$3:A593,A593)-1</f>
        <v>43.20</v>
      </c>
      <c r="C593" s="103" t="s">
        <v>54</v>
      </c>
      <c r="D593" s="104"/>
      <c r="E593" s="365"/>
      <c r="F593" s="101"/>
      <c r="G593" s="104"/>
      <c r="H593" s="104"/>
      <c r="I593" s="118" t="s">
        <v>1</v>
      </c>
      <c r="J593" s="120">
        <f>SUM(J574:J592)</f>
        <v>1.31786</v>
      </c>
      <c r="K593" s="104"/>
      <c r="L593" s="53"/>
      <c r="M593" s="119"/>
      <c r="N593" s="70"/>
      <c r="O593" s="337"/>
      <c r="Q593" s="90"/>
    </row>
    <row r="594" spans="1:19" s="23" customFormat="1" ht="16.5" customHeight="1" x14ac:dyDescent="0.15">
      <c r="A594" s="97">
        <f>COUNTIF(L$1:L594,"!")</f>
        <v>44</v>
      </c>
      <c r="B594" s="32" t="str">
        <f>COUNTIF(L$2:L594,"!")&amp;"."</f>
        <v>44.</v>
      </c>
      <c r="C594" s="47" t="s">
        <v>2903</v>
      </c>
      <c r="D594" s="35" t="s">
        <v>3027</v>
      </c>
      <c r="E594" s="367" t="s">
        <v>22</v>
      </c>
      <c r="F594" s="367" t="s">
        <v>3261</v>
      </c>
      <c r="G594" s="34" t="s">
        <v>23</v>
      </c>
      <c r="H594" s="98">
        <v>1</v>
      </c>
      <c r="I594" s="115">
        <f>LOOKUP(0,0/((A594:A614=A594)*(C594:C614="合计金额（单位完整货物单价）")),J594:J614)</f>
        <v>4.1612</v>
      </c>
      <c r="J594" s="116">
        <f>IFERROR(I594*H594,"")</f>
        <v>4.1612</v>
      </c>
      <c r="K594" s="34"/>
      <c r="L594" s="48" t="s">
        <v>24</v>
      </c>
      <c r="M594" s="49"/>
      <c r="N594" s="50"/>
      <c r="O594" s="51"/>
      <c r="Q594" s="360">
        <f>COUNTIF(L$3:L594,"#")</f>
        <v>6</v>
      </c>
    </row>
    <row r="595" spans="1:19" s="23" customFormat="1" ht="16.5" customHeight="1" x14ac:dyDescent="0.2">
      <c r="A595" s="363">
        <f>COUNTIF(L$1:L595,"!")</f>
        <v>44</v>
      </c>
      <c r="B595" s="364" t="str">
        <f>A595&amp;"."&amp;COUNTIF(A$3:A595,A595)-1</f>
        <v>44.1</v>
      </c>
      <c r="C595" s="100" t="s">
        <v>2905</v>
      </c>
      <c r="D595" s="41" t="s">
        <v>2906</v>
      </c>
      <c r="E595" s="101" t="s">
        <v>2879</v>
      </c>
      <c r="F595" s="100" t="s">
        <v>3261</v>
      </c>
      <c r="G595" s="100" t="str">
        <f>G594</f>
        <v>台</v>
      </c>
      <c r="H595" s="41">
        <v>1</v>
      </c>
      <c r="I595" s="117">
        <f t="shared" ref="I595:I596" si="261">IFERROR(ROUND(L595*M595/10000,4),"")</f>
        <v>3.9312</v>
      </c>
      <c r="J595" s="117">
        <f t="shared" ref="J595:J596" si="262">IFERROR(I595*H595,"")</f>
        <v>3.9312</v>
      </c>
      <c r="K595" s="52"/>
      <c r="L595" s="53">
        <f t="shared" ref="L595:L596" si="263">L$2</f>
        <v>1</v>
      </c>
      <c r="M595" s="69">
        <f t="shared" ref="M595:M596" si="264">IFERROR(O595*N595,"")</f>
        <v>39312</v>
      </c>
      <c r="N595" s="55">
        <v>1</v>
      </c>
      <c r="O595" s="337">
        <f>R595*S595</f>
        <v>39312</v>
      </c>
      <c r="P595" s="57" t="str">
        <f t="shared" ref="P595:P596" si="265">IF(_xlfn.ISFORMULA(O595),"","值")</f>
        <v/>
      </c>
      <c r="Q595" s="30" t="s">
        <v>2904</v>
      </c>
      <c r="R595" s="30">
        <v>4200</v>
      </c>
      <c r="S595" s="24">
        <f>(MID(D595,FIND(" ",D595)+1,FIND("*",D595)-FIND(" ",D595)-1)*MID(D595,FIND("*",D595)+1,FIND("*",MID(D595,FIND("*",D595)+1,30))-1))/1000000*IF(ROUND(RIGHT(D595,4),0)&gt;2650,1/2.65*2.95,1)</f>
        <v>9.36</v>
      </c>
    </row>
    <row r="596" spans="1:19" s="23" customFormat="1" ht="16.5" customHeight="1" x14ac:dyDescent="0.2">
      <c r="A596" s="363">
        <f>COUNTIF(L$1:L596,"!")</f>
        <v>44</v>
      </c>
      <c r="B596" s="364" t="str">
        <f>A596&amp;"."&amp;COUNTIF(A$3:A596,A596)-1</f>
        <v>44.2</v>
      </c>
      <c r="C596" s="100" t="s">
        <v>51</v>
      </c>
      <c r="D596" s="41"/>
      <c r="E596" s="101"/>
      <c r="F596" s="101"/>
      <c r="G596" s="41" t="s">
        <v>2871</v>
      </c>
      <c r="H596" s="41">
        <v>1</v>
      </c>
      <c r="I596" s="117">
        <f t="shared" si="261"/>
        <v>0.23</v>
      </c>
      <c r="J596" s="117">
        <f t="shared" si="262"/>
        <v>0.23</v>
      </c>
      <c r="K596" s="52"/>
      <c r="L596" s="53">
        <f t="shared" si="263"/>
        <v>1</v>
      </c>
      <c r="M596" s="69">
        <f t="shared" si="264"/>
        <v>2300</v>
      </c>
      <c r="N596" s="55">
        <v>1</v>
      </c>
      <c r="O596" s="56">
        <v>2300</v>
      </c>
      <c r="P596" s="57" t="str">
        <f t="shared" si="265"/>
        <v>值</v>
      </c>
    </row>
    <row r="597" spans="1:19" s="23" customFormat="1" ht="27" customHeight="1" x14ac:dyDescent="0.2">
      <c r="A597" s="363">
        <f>COUNTIF(L$1:L597,"!")</f>
        <v>44</v>
      </c>
      <c r="B597" s="364" t="str">
        <f>A597&amp;"."&amp;COUNTIF(A$3:A597,A597)-1</f>
        <v>44.3</v>
      </c>
      <c r="C597" s="103" t="s">
        <v>53</v>
      </c>
      <c r="D597" s="104"/>
      <c r="E597" s="365"/>
      <c r="F597" s="101"/>
      <c r="G597" s="104"/>
      <c r="H597" s="104" t="s">
        <v>1</v>
      </c>
      <c r="I597" s="118" t="s">
        <v>52</v>
      </c>
      <c r="J597" s="366"/>
      <c r="K597" s="104"/>
      <c r="L597" s="53"/>
      <c r="M597" s="119"/>
      <c r="N597" s="70"/>
      <c r="O597" s="337"/>
    </row>
    <row r="598" spans="1:19" s="30" customFormat="1" ht="27" customHeight="1" x14ac:dyDescent="0.2">
      <c r="A598" s="363">
        <f>COUNTIF(L$1:L598,"!")</f>
        <v>44</v>
      </c>
      <c r="B598" s="364" t="str">
        <f>A598&amp;"."&amp;COUNTIF(A$3:A598,A598)-1</f>
        <v>44.4</v>
      </c>
      <c r="C598" s="103" t="s">
        <v>54</v>
      </c>
      <c r="D598" s="104"/>
      <c r="E598" s="365"/>
      <c r="F598" s="101"/>
      <c r="G598" s="104"/>
      <c r="H598" s="104"/>
      <c r="I598" s="118" t="s">
        <v>1</v>
      </c>
      <c r="J598" s="120">
        <f>SUM(J595:J597)</f>
        <v>4.1612</v>
      </c>
      <c r="K598" s="104"/>
      <c r="L598" s="53"/>
      <c r="M598" s="119"/>
      <c r="N598" s="70"/>
      <c r="O598" s="337"/>
      <c r="Q598" s="90"/>
    </row>
    <row r="599" spans="1:19" ht="16.5" customHeight="1" x14ac:dyDescent="0.2"/>
    <row r="600" spans="1:19" ht="16.5" customHeight="1" x14ac:dyDescent="0.2"/>
    <row r="601" spans="1:19" ht="16.5" customHeight="1" x14ac:dyDescent="0.2"/>
    <row r="602" spans="1:19" ht="16.5" customHeight="1" x14ac:dyDescent="0.2"/>
    <row r="603" spans="1:19" ht="16.5" customHeight="1" x14ac:dyDescent="0.2"/>
    <row r="604" spans="1:19" ht="16.5" customHeight="1" x14ac:dyDescent="0.2"/>
    <row r="605" spans="1:19" ht="16.5" customHeight="1" x14ac:dyDescent="0.2"/>
    <row r="606" spans="1:19" ht="16.5" customHeight="1" x14ac:dyDescent="0.2"/>
    <row r="607" spans="1:19" ht="16.5" customHeight="1" x14ac:dyDescent="0.2"/>
    <row r="608" spans="1:19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  <row r="1001" ht="16.5" customHeight="1" x14ac:dyDescent="0.2"/>
    <row r="1002" ht="16.5" customHeight="1" x14ac:dyDescent="0.2"/>
    <row r="1003" ht="16.5" customHeight="1" x14ac:dyDescent="0.2"/>
    <row r="1004" ht="16.5" customHeight="1" x14ac:dyDescent="0.2"/>
    <row r="1005" ht="16.5" customHeight="1" x14ac:dyDescent="0.2"/>
    <row r="1006" ht="16.5" customHeight="1" x14ac:dyDescent="0.2"/>
    <row r="1007" ht="16.5" customHeight="1" x14ac:dyDescent="0.2"/>
    <row r="1008" ht="16.5" customHeight="1" x14ac:dyDescent="0.2"/>
    <row r="1009" ht="16.5" customHeight="1" x14ac:dyDescent="0.2"/>
    <row r="1010" ht="16.5" customHeight="1" x14ac:dyDescent="0.2"/>
    <row r="1011" ht="16.5" customHeight="1" x14ac:dyDescent="0.2"/>
    <row r="1012" ht="16.5" customHeight="1" x14ac:dyDescent="0.2"/>
    <row r="1013" ht="16.5" customHeight="1" x14ac:dyDescent="0.2"/>
    <row r="1014" ht="16.5" customHeight="1" x14ac:dyDescent="0.2"/>
    <row r="1015" ht="16.5" customHeight="1" x14ac:dyDescent="0.2"/>
    <row r="1016" ht="16.5" customHeight="1" x14ac:dyDescent="0.2"/>
    <row r="1017" ht="16.5" customHeight="1" x14ac:dyDescent="0.2"/>
    <row r="1018" ht="16.5" customHeight="1" x14ac:dyDescent="0.2"/>
    <row r="1019" ht="16.5" customHeight="1" x14ac:dyDescent="0.2"/>
    <row r="1020" ht="16.5" customHeight="1" x14ac:dyDescent="0.2"/>
    <row r="1021" ht="16.5" customHeight="1" x14ac:dyDescent="0.2"/>
    <row r="1022" ht="16.5" customHeight="1" x14ac:dyDescent="0.2"/>
    <row r="1023" ht="16.5" customHeight="1" x14ac:dyDescent="0.2"/>
    <row r="1024" ht="16.5" customHeight="1" x14ac:dyDescent="0.2"/>
    <row r="1025" ht="16.5" customHeight="1" x14ac:dyDescent="0.2"/>
    <row r="1026" ht="16.5" customHeight="1" x14ac:dyDescent="0.2"/>
    <row r="1027" ht="16.5" customHeight="1" x14ac:dyDescent="0.2"/>
    <row r="1028" ht="16.5" customHeight="1" x14ac:dyDescent="0.2"/>
    <row r="1029" ht="16.5" customHeight="1" x14ac:dyDescent="0.2"/>
    <row r="1030" ht="16.5" customHeight="1" x14ac:dyDescent="0.2"/>
    <row r="1031" ht="16.5" customHeight="1" x14ac:dyDescent="0.2"/>
    <row r="1032" ht="16.5" customHeight="1" x14ac:dyDescent="0.2"/>
    <row r="1033" ht="16.5" customHeight="1" x14ac:dyDescent="0.2"/>
    <row r="1034" ht="16.5" customHeight="1" x14ac:dyDescent="0.2"/>
    <row r="1035" ht="16.5" customHeight="1" x14ac:dyDescent="0.2"/>
    <row r="1036" ht="16.5" customHeight="1" x14ac:dyDescent="0.2"/>
    <row r="1037" ht="16.5" customHeight="1" x14ac:dyDescent="0.2"/>
    <row r="1038" ht="16.5" customHeight="1" x14ac:dyDescent="0.2"/>
    <row r="1039" ht="16.5" customHeight="1" x14ac:dyDescent="0.2"/>
    <row r="1040" ht="16.5" customHeight="1" x14ac:dyDescent="0.2"/>
    <row r="1041" ht="16.5" customHeight="1" x14ac:dyDescent="0.2"/>
    <row r="1042" ht="16.5" customHeight="1" x14ac:dyDescent="0.2"/>
    <row r="1043" ht="16.5" customHeight="1" x14ac:dyDescent="0.2"/>
    <row r="1044" ht="16.5" customHeight="1" x14ac:dyDescent="0.2"/>
    <row r="1045" ht="16.5" customHeight="1" x14ac:dyDescent="0.2"/>
    <row r="1046" ht="16.5" customHeight="1" x14ac:dyDescent="0.2"/>
    <row r="1047" ht="16.5" customHeight="1" x14ac:dyDescent="0.2"/>
    <row r="1048" ht="16.5" customHeight="1" x14ac:dyDescent="0.2"/>
    <row r="1049" ht="16.5" customHeight="1" x14ac:dyDescent="0.2"/>
    <row r="1050" ht="16.5" customHeight="1" x14ac:dyDescent="0.2"/>
    <row r="1051" ht="16.5" customHeight="1" x14ac:dyDescent="0.2"/>
    <row r="1052" ht="16.5" customHeight="1" x14ac:dyDescent="0.2"/>
    <row r="1053" ht="16.5" customHeight="1" x14ac:dyDescent="0.2"/>
    <row r="1054" ht="16.5" customHeight="1" x14ac:dyDescent="0.2"/>
    <row r="1055" ht="16.5" customHeight="1" x14ac:dyDescent="0.2"/>
    <row r="1056" ht="16.5" customHeight="1" x14ac:dyDescent="0.2"/>
    <row r="1057" ht="16.5" customHeight="1" x14ac:dyDescent="0.2"/>
    <row r="1058" ht="16.5" customHeight="1" x14ac:dyDescent="0.2"/>
    <row r="1059" ht="16.5" customHeight="1" x14ac:dyDescent="0.2"/>
    <row r="1060" ht="16.5" customHeight="1" x14ac:dyDescent="0.2"/>
    <row r="1061" ht="16.5" customHeight="1" x14ac:dyDescent="0.2"/>
    <row r="1062" ht="16.5" customHeight="1" x14ac:dyDescent="0.2"/>
    <row r="1063" ht="16.5" customHeight="1" x14ac:dyDescent="0.2"/>
    <row r="1064" ht="16.5" customHeight="1" x14ac:dyDescent="0.2"/>
    <row r="1065" ht="16.5" customHeight="1" x14ac:dyDescent="0.2"/>
    <row r="1066" ht="16.5" customHeight="1" x14ac:dyDescent="0.2"/>
    <row r="1067" ht="16.5" customHeight="1" x14ac:dyDescent="0.2"/>
    <row r="1068" ht="16.5" customHeight="1" x14ac:dyDescent="0.2"/>
    <row r="1069" ht="16.5" customHeight="1" x14ac:dyDescent="0.2"/>
    <row r="1070" ht="16.5" customHeight="1" x14ac:dyDescent="0.2"/>
    <row r="1071" ht="16.5" customHeight="1" x14ac:dyDescent="0.2"/>
    <row r="1072" ht="16.5" customHeight="1" x14ac:dyDescent="0.2"/>
    <row r="1073" ht="16.5" customHeight="1" x14ac:dyDescent="0.2"/>
    <row r="1074" ht="16.5" customHeight="1" x14ac:dyDescent="0.2"/>
    <row r="1075" ht="16.5" customHeight="1" x14ac:dyDescent="0.2"/>
    <row r="1076" ht="16.5" customHeight="1" x14ac:dyDescent="0.2"/>
    <row r="1077" ht="16.5" customHeight="1" x14ac:dyDescent="0.2"/>
    <row r="1078" ht="16.5" customHeight="1" x14ac:dyDescent="0.2"/>
    <row r="1079" ht="16.5" customHeight="1" x14ac:dyDescent="0.2"/>
    <row r="1080" ht="16.5" customHeight="1" x14ac:dyDescent="0.2"/>
    <row r="1081" ht="16.5" customHeight="1" x14ac:dyDescent="0.2"/>
    <row r="1082" ht="16.5" customHeight="1" x14ac:dyDescent="0.2"/>
    <row r="1083" ht="16.5" customHeight="1" x14ac:dyDescent="0.2"/>
    <row r="1084" ht="16.5" customHeight="1" x14ac:dyDescent="0.2"/>
    <row r="1085" ht="16.5" customHeight="1" x14ac:dyDescent="0.2"/>
    <row r="1086" ht="16.5" customHeight="1" x14ac:dyDescent="0.2"/>
    <row r="1087" ht="16.5" customHeight="1" x14ac:dyDescent="0.2"/>
    <row r="1088" ht="16.5" customHeight="1" x14ac:dyDescent="0.2"/>
    <row r="1089" ht="16.5" customHeight="1" x14ac:dyDescent="0.2"/>
    <row r="1090" ht="16.5" customHeight="1" x14ac:dyDescent="0.2"/>
    <row r="1091" ht="16.5" customHeight="1" x14ac:dyDescent="0.2"/>
    <row r="1092" ht="16.5" customHeight="1" x14ac:dyDescent="0.2"/>
    <row r="1093" ht="16.5" customHeight="1" x14ac:dyDescent="0.2"/>
    <row r="1094" ht="16.5" customHeight="1" x14ac:dyDescent="0.2"/>
    <row r="1095" ht="16.5" customHeight="1" x14ac:dyDescent="0.2"/>
    <row r="1096" ht="16.5" customHeight="1" x14ac:dyDescent="0.2"/>
    <row r="1097" ht="16.5" customHeight="1" x14ac:dyDescent="0.2"/>
    <row r="1098" ht="16.5" customHeight="1" x14ac:dyDescent="0.2"/>
    <row r="1099" ht="16.5" customHeight="1" x14ac:dyDescent="0.2"/>
    <row r="1100" ht="16.5" customHeight="1" x14ac:dyDescent="0.2"/>
    <row r="1101" ht="16.5" customHeight="1" x14ac:dyDescent="0.2"/>
    <row r="1102" ht="16.5" customHeight="1" x14ac:dyDescent="0.2"/>
    <row r="1103" ht="16.5" customHeight="1" x14ac:dyDescent="0.2"/>
    <row r="1104" ht="16.5" customHeight="1" x14ac:dyDescent="0.2"/>
    <row r="1105" ht="16.5" customHeight="1" x14ac:dyDescent="0.2"/>
    <row r="1106" ht="16.5" customHeight="1" x14ac:dyDescent="0.2"/>
    <row r="1107" ht="16.5" customHeight="1" x14ac:dyDescent="0.2"/>
    <row r="1108" ht="16.5" customHeight="1" x14ac:dyDescent="0.2"/>
    <row r="1109" ht="16.5" customHeight="1" x14ac:dyDescent="0.2"/>
    <row r="1110" ht="16.5" customHeight="1" x14ac:dyDescent="0.2"/>
    <row r="1111" ht="16.5" customHeight="1" x14ac:dyDescent="0.2"/>
    <row r="1112" ht="16.5" customHeight="1" x14ac:dyDescent="0.2"/>
    <row r="1113" ht="16.5" customHeight="1" x14ac:dyDescent="0.2"/>
    <row r="1114" ht="16.5" customHeight="1" x14ac:dyDescent="0.2"/>
    <row r="1115" ht="16.5" customHeight="1" x14ac:dyDescent="0.2"/>
    <row r="1116" ht="16.5" customHeight="1" x14ac:dyDescent="0.2"/>
    <row r="1117" ht="16.5" customHeight="1" x14ac:dyDescent="0.2"/>
    <row r="1118" ht="16.5" customHeight="1" x14ac:dyDescent="0.2"/>
    <row r="1119" ht="16.5" customHeight="1" x14ac:dyDescent="0.2"/>
    <row r="1120" ht="16.5" customHeight="1" x14ac:dyDescent="0.2"/>
    <row r="1121" ht="16.5" customHeight="1" x14ac:dyDescent="0.2"/>
    <row r="1122" ht="16.5" customHeight="1" x14ac:dyDescent="0.2"/>
    <row r="1123" ht="16.5" customHeight="1" x14ac:dyDescent="0.2"/>
    <row r="1124" ht="16.5" customHeight="1" x14ac:dyDescent="0.2"/>
    <row r="1125" ht="16.5" customHeight="1" x14ac:dyDescent="0.2"/>
    <row r="1126" ht="16.5" customHeight="1" x14ac:dyDescent="0.2"/>
    <row r="1127" ht="16.5" customHeight="1" x14ac:dyDescent="0.2"/>
    <row r="1128" ht="16.5" customHeight="1" x14ac:dyDescent="0.2"/>
    <row r="1129" ht="16.5" customHeight="1" x14ac:dyDescent="0.2"/>
    <row r="1130" ht="16.5" customHeight="1" x14ac:dyDescent="0.2"/>
    <row r="1131" ht="16.5" customHeight="1" x14ac:dyDescent="0.2"/>
    <row r="1132" ht="16.5" customHeight="1" x14ac:dyDescent="0.2"/>
    <row r="1133" ht="16.5" customHeight="1" x14ac:dyDescent="0.2"/>
    <row r="1134" ht="16.5" customHeight="1" x14ac:dyDescent="0.2"/>
    <row r="1135" ht="16.5" customHeight="1" x14ac:dyDescent="0.2"/>
    <row r="1136" ht="16.5" customHeight="1" x14ac:dyDescent="0.2"/>
    <row r="1137" ht="16.5" customHeight="1" x14ac:dyDescent="0.2"/>
    <row r="1138" ht="16.5" customHeight="1" x14ac:dyDescent="0.2"/>
    <row r="1139" ht="16.5" customHeight="1" x14ac:dyDescent="0.2"/>
    <row r="1140" ht="16.5" customHeight="1" x14ac:dyDescent="0.2"/>
    <row r="1141" ht="16.5" customHeight="1" x14ac:dyDescent="0.2"/>
    <row r="1142" ht="16.5" customHeight="1" x14ac:dyDescent="0.2"/>
    <row r="1143" ht="16.5" customHeight="1" x14ac:dyDescent="0.2"/>
    <row r="1144" ht="16.5" customHeight="1" x14ac:dyDescent="0.2"/>
    <row r="1145" ht="16.5" customHeight="1" x14ac:dyDescent="0.2"/>
    <row r="1146" ht="16.5" customHeight="1" x14ac:dyDescent="0.2"/>
    <row r="1147" ht="16.5" customHeight="1" x14ac:dyDescent="0.2"/>
    <row r="1148" ht="16.5" customHeight="1" x14ac:dyDescent="0.2"/>
    <row r="1149" ht="16.5" customHeight="1" x14ac:dyDescent="0.2"/>
    <row r="1150" ht="16.5" customHeight="1" x14ac:dyDescent="0.2"/>
    <row r="1151" ht="16.5" customHeight="1" x14ac:dyDescent="0.2"/>
    <row r="1152" ht="16.5" customHeight="1" x14ac:dyDescent="0.2"/>
    <row r="1153" ht="16.5" customHeight="1" x14ac:dyDescent="0.2"/>
    <row r="1154" ht="16.5" customHeight="1" x14ac:dyDescent="0.2"/>
    <row r="1155" ht="16.5" customHeight="1" x14ac:dyDescent="0.2"/>
    <row r="1156" ht="16.5" customHeight="1" x14ac:dyDescent="0.2"/>
    <row r="1157" ht="16.5" customHeight="1" x14ac:dyDescent="0.2"/>
    <row r="1158" ht="16.5" customHeight="1" x14ac:dyDescent="0.2"/>
    <row r="1159" ht="16.5" customHeight="1" x14ac:dyDescent="0.2"/>
    <row r="1160" ht="16.5" customHeight="1" x14ac:dyDescent="0.2"/>
    <row r="1161" ht="16.5" customHeight="1" x14ac:dyDescent="0.2"/>
    <row r="1162" ht="16.5" customHeight="1" x14ac:dyDescent="0.2"/>
    <row r="1163" ht="16.5" customHeight="1" x14ac:dyDescent="0.2"/>
    <row r="1164" ht="16.5" customHeight="1" x14ac:dyDescent="0.2"/>
    <row r="1165" ht="16.5" customHeight="1" x14ac:dyDescent="0.2"/>
    <row r="1166" ht="16.5" customHeight="1" x14ac:dyDescent="0.2"/>
    <row r="1167" ht="16.5" customHeight="1" x14ac:dyDescent="0.2"/>
    <row r="1168" ht="16.5" customHeight="1" x14ac:dyDescent="0.2"/>
    <row r="1169" ht="16.5" customHeight="1" x14ac:dyDescent="0.2"/>
    <row r="1170" ht="16.5" customHeight="1" x14ac:dyDescent="0.2"/>
    <row r="1171" ht="16.5" customHeight="1" x14ac:dyDescent="0.2"/>
    <row r="1172" ht="16.5" customHeight="1" x14ac:dyDescent="0.2"/>
    <row r="1173" ht="16.5" customHeight="1" x14ac:dyDescent="0.2"/>
    <row r="1174" ht="16.5" customHeight="1" x14ac:dyDescent="0.2"/>
    <row r="1175" ht="16.5" customHeight="1" x14ac:dyDescent="0.2"/>
    <row r="1176" ht="16.5" customHeight="1" x14ac:dyDescent="0.2"/>
    <row r="1177" ht="16.5" customHeight="1" x14ac:dyDescent="0.2"/>
    <row r="1178" ht="16.5" customHeight="1" x14ac:dyDescent="0.2"/>
    <row r="1179" ht="16.5" customHeight="1" x14ac:dyDescent="0.2"/>
    <row r="1180" ht="16.5" customHeight="1" x14ac:dyDescent="0.2"/>
    <row r="1181" ht="16.5" customHeight="1" x14ac:dyDescent="0.2"/>
    <row r="1182" ht="16.5" customHeight="1" x14ac:dyDescent="0.2"/>
    <row r="1183" ht="16.5" customHeight="1" x14ac:dyDescent="0.2"/>
    <row r="1184" ht="16.5" customHeight="1" x14ac:dyDescent="0.2"/>
    <row r="1185" ht="16.5" customHeight="1" x14ac:dyDescent="0.2"/>
    <row r="1186" ht="16.5" customHeight="1" x14ac:dyDescent="0.2"/>
    <row r="1187" ht="16.5" customHeight="1" x14ac:dyDescent="0.2"/>
    <row r="1188" ht="16.5" customHeight="1" x14ac:dyDescent="0.2"/>
    <row r="1189" ht="16.5" customHeight="1" x14ac:dyDescent="0.2"/>
    <row r="1190" ht="16.5" customHeight="1" x14ac:dyDescent="0.2"/>
    <row r="1191" ht="16.5" customHeight="1" x14ac:dyDescent="0.2"/>
    <row r="1192" ht="16.5" customHeight="1" x14ac:dyDescent="0.2"/>
    <row r="1193" ht="16.5" customHeight="1" x14ac:dyDescent="0.2"/>
    <row r="1194" ht="16.5" customHeight="1" x14ac:dyDescent="0.2"/>
    <row r="1195" ht="16.5" customHeight="1" x14ac:dyDescent="0.2"/>
    <row r="1196" ht="16.5" customHeight="1" x14ac:dyDescent="0.2"/>
    <row r="1197" ht="16.5" customHeight="1" x14ac:dyDescent="0.2"/>
    <row r="1198" ht="16.5" customHeight="1" x14ac:dyDescent="0.2"/>
    <row r="1199" ht="16.5" customHeight="1" x14ac:dyDescent="0.2"/>
    <row r="1200" ht="16.5" customHeight="1" x14ac:dyDescent="0.2"/>
    <row r="1201" ht="16.5" customHeight="1" x14ac:dyDescent="0.2"/>
    <row r="1202" ht="16.5" customHeight="1" x14ac:dyDescent="0.2"/>
    <row r="1203" ht="16.5" customHeight="1" x14ac:dyDescent="0.2"/>
    <row r="1204" ht="16.5" customHeight="1" x14ac:dyDescent="0.2"/>
    <row r="1205" ht="16.5" customHeight="1" x14ac:dyDescent="0.2"/>
    <row r="1206" ht="16.5" customHeight="1" x14ac:dyDescent="0.2"/>
    <row r="1207" ht="16.5" customHeight="1" x14ac:dyDescent="0.2"/>
    <row r="1208" ht="16.5" customHeight="1" x14ac:dyDescent="0.2"/>
    <row r="1209" ht="16.5" customHeight="1" x14ac:dyDescent="0.2"/>
    <row r="1210" ht="16.5" customHeight="1" x14ac:dyDescent="0.2"/>
    <row r="1211" ht="16.5" customHeight="1" x14ac:dyDescent="0.2"/>
    <row r="1212" ht="16.5" customHeight="1" x14ac:dyDescent="0.2"/>
    <row r="1213" ht="16.5" customHeight="1" x14ac:dyDescent="0.2"/>
    <row r="1214" ht="16.5" customHeight="1" x14ac:dyDescent="0.2"/>
    <row r="1215" ht="16.5" customHeight="1" x14ac:dyDescent="0.2"/>
    <row r="1216" ht="16.5" customHeight="1" x14ac:dyDescent="0.2"/>
    <row r="1217" ht="16.5" customHeight="1" x14ac:dyDescent="0.2"/>
    <row r="1218" ht="16.5" customHeight="1" x14ac:dyDescent="0.2"/>
    <row r="1219" ht="16.5" customHeight="1" x14ac:dyDescent="0.2"/>
    <row r="1220" ht="16.5" customHeight="1" x14ac:dyDescent="0.2"/>
    <row r="1221" ht="16.5" customHeight="1" x14ac:dyDescent="0.2"/>
    <row r="1222" ht="16.5" customHeight="1" x14ac:dyDescent="0.2"/>
    <row r="1223" ht="16.5" customHeight="1" x14ac:dyDescent="0.2"/>
    <row r="1224" ht="16.5" customHeight="1" x14ac:dyDescent="0.2"/>
    <row r="1225" ht="16.5" customHeight="1" x14ac:dyDescent="0.2"/>
    <row r="1226" ht="16.5" customHeight="1" x14ac:dyDescent="0.2"/>
    <row r="1227" ht="16.5" customHeight="1" x14ac:dyDescent="0.2"/>
    <row r="1228" ht="16.5" customHeight="1" x14ac:dyDescent="0.2"/>
    <row r="1229" ht="16.5" customHeight="1" x14ac:dyDescent="0.2"/>
    <row r="1230" ht="16.5" customHeight="1" x14ac:dyDescent="0.2"/>
    <row r="1231" ht="16.5" customHeight="1" x14ac:dyDescent="0.2"/>
    <row r="1232" ht="16.5" customHeight="1" x14ac:dyDescent="0.2"/>
    <row r="1233" ht="16.5" customHeight="1" x14ac:dyDescent="0.2"/>
    <row r="1234" ht="16.5" customHeight="1" x14ac:dyDescent="0.2"/>
    <row r="1235" ht="16.5" customHeight="1" x14ac:dyDescent="0.2"/>
    <row r="1236" ht="16.5" customHeight="1" x14ac:dyDescent="0.2"/>
    <row r="1237" ht="16.5" customHeight="1" x14ac:dyDescent="0.2"/>
    <row r="1238" ht="16.5" customHeight="1" x14ac:dyDescent="0.2"/>
    <row r="1239" ht="16.5" customHeight="1" x14ac:dyDescent="0.2"/>
    <row r="1240" ht="16.5" customHeight="1" x14ac:dyDescent="0.2"/>
    <row r="1241" ht="16.5" customHeight="1" x14ac:dyDescent="0.2"/>
    <row r="1242" ht="16.5" customHeight="1" x14ac:dyDescent="0.2"/>
    <row r="1243" ht="16.5" customHeight="1" x14ac:dyDescent="0.2"/>
    <row r="1244" ht="16.5" customHeight="1" x14ac:dyDescent="0.2"/>
    <row r="1245" ht="16.5" customHeight="1" x14ac:dyDescent="0.2"/>
    <row r="1246" ht="16.5" customHeight="1" x14ac:dyDescent="0.2"/>
    <row r="1247" ht="16.5" customHeight="1" x14ac:dyDescent="0.2"/>
    <row r="1248" ht="16.5" customHeight="1" x14ac:dyDescent="0.2"/>
    <row r="1249" ht="16.5" customHeight="1" x14ac:dyDescent="0.2"/>
    <row r="1250" ht="16.5" customHeight="1" x14ac:dyDescent="0.2"/>
    <row r="1251" ht="16.5" customHeight="1" x14ac:dyDescent="0.2"/>
    <row r="1252" ht="16.5" customHeight="1" x14ac:dyDescent="0.2"/>
    <row r="1253" ht="16.5" customHeight="1" x14ac:dyDescent="0.2"/>
    <row r="1254" ht="16.5" customHeight="1" x14ac:dyDescent="0.2"/>
    <row r="1255" ht="16.5" customHeight="1" x14ac:dyDescent="0.2"/>
    <row r="1256" ht="16.5" customHeight="1" x14ac:dyDescent="0.2"/>
    <row r="1257" ht="16.5" customHeight="1" x14ac:dyDescent="0.2"/>
    <row r="1258" ht="16.5" customHeight="1" x14ac:dyDescent="0.2"/>
    <row r="1259" ht="16.5" customHeight="1" x14ac:dyDescent="0.2"/>
    <row r="1260" ht="16.5" customHeight="1" x14ac:dyDescent="0.2"/>
    <row r="1261" ht="16.5" customHeight="1" x14ac:dyDescent="0.2"/>
    <row r="1262" ht="16.5" customHeight="1" x14ac:dyDescent="0.2"/>
    <row r="1263" ht="16.5" customHeight="1" x14ac:dyDescent="0.2"/>
    <row r="1264" ht="16.5" customHeight="1" x14ac:dyDescent="0.2"/>
    <row r="1265" ht="16.5" customHeight="1" x14ac:dyDescent="0.2"/>
    <row r="1266" ht="16.5" customHeight="1" x14ac:dyDescent="0.2"/>
    <row r="1267" ht="16.5" customHeight="1" x14ac:dyDescent="0.2"/>
    <row r="1268" ht="16.5" customHeight="1" x14ac:dyDescent="0.2"/>
    <row r="1269" ht="16.5" customHeight="1" x14ac:dyDescent="0.2"/>
    <row r="1270" ht="16.5" customHeight="1" x14ac:dyDescent="0.2"/>
    <row r="1271" ht="16.5" customHeight="1" x14ac:dyDescent="0.2"/>
    <row r="1272" ht="16.5" customHeight="1" x14ac:dyDescent="0.2"/>
    <row r="1273" ht="16.5" customHeight="1" x14ac:dyDescent="0.2"/>
    <row r="1274" ht="16.5" customHeight="1" x14ac:dyDescent="0.2"/>
    <row r="1275" ht="16.5" customHeight="1" x14ac:dyDescent="0.2"/>
    <row r="1276" ht="16.5" customHeight="1" x14ac:dyDescent="0.2"/>
    <row r="1277" ht="16.5" customHeight="1" x14ac:dyDescent="0.2"/>
    <row r="1278" ht="16.5" customHeight="1" x14ac:dyDescent="0.2"/>
    <row r="1279" ht="16.5" customHeight="1" x14ac:dyDescent="0.2"/>
    <row r="1280" ht="16.5" customHeight="1" x14ac:dyDescent="0.2"/>
    <row r="1281" ht="16.5" customHeight="1" x14ac:dyDescent="0.2"/>
    <row r="1282" ht="16.5" customHeight="1" x14ac:dyDescent="0.2"/>
    <row r="1283" ht="16.5" customHeight="1" x14ac:dyDescent="0.2"/>
    <row r="1284" ht="16.5" customHeight="1" x14ac:dyDescent="0.2"/>
    <row r="1285" ht="16.5" customHeight="1" x14ac:dyDescent="0.2"/>
    <row r="1286" ht="16.5" customHeight="1" x14ac:dyDescent="0.2"/>
    <row r="1287" ht="16.5" customHeight="1" x14ac:dyDescent="0.2"/>
    <row r="1288" ht="16.5" customHeight="1" x14ac:dyDescent="0.2"/>
    <row r="1289" ht="16.5" customHeight="1" x14ac:dyDescent="0.2"/>
    <row r="1290" ht="16.5" customHeight="1" x14ac:dyDescent="0.2"/>
    <row r="1291" ht="16.5" customHeight="1" x14ac:dyDescent="0.2"/>
    <row r="1292" ht="16.5" customHeight="1" x14ac:dyDescent="0.2"/>
    <row r="1293" ht="16.5" customHeight="1" x14ac:dyDescent="0.2"/>
    <row r="1294" ht="16.5" customHeight="1" x14ac:dyDescent="0.2"/>
    <row r="1295" ht="16.5" customHeight="1" x14ac:dyDescent="0.2"/>
    <row r="1296" ht="16.5" customHeight="1" x14ac:dyDescent="0.2"/>
    <row r="1297" ht="16.5" customHeight="1" x14ac:dyDescent="0.2"/>
    <row r="1298" ht="16.5" customHeight="1" x14ac:dyDescent="0.2"/>
    <row r="1299" ht="16.5" customHeight="1" x14ac:dyDescent="0.2"/>
    <row r="1300" ht="16.5" customHeight="1" x14ac:dyDescent="0.2"/>
    <row r="1301" ht="16.5" customHeight="1" x14ac:dyDescent="0.2"/>
    <row r="1302" ht="16.5" customHeight="1" x14ac:dyDescent="0.2"/>
    <row r="1303" ht="16.5" customHeight="1" x14ac:dyDescent="0.2"/>
    <row r="1304" ht="16.5" customHeight="1" x14ac:dyDescent="0.2"/>
    <row r="1305" ht="16.5" customHeight="1" x14ac:dyDescent="0.2"/>
    <row r="1306" ht="16.5" customHeight="1" x14ac:dyDescent="0.2"/>
    <row r="1307" ht="16.5" customHeight="1" x14ac:dyDescent="0.2"/>
    <row r="1308" ht="16.5" customHeight="1" x14ac:dyDescent="0.2"/>
    <row r="1309" ht="16.5" customHeight="1" x14ac:dyDescent="0.2"/>
    <row r="1310" ht="16.5" customHeight="1" x14ac:dyDescent="0.2"/>
    <row r="1311" ht="16.5" customHeight="1" x14ac:dyDescent="0.2"/>
    <row r="1312" ht="16.5" customHeight="1" x14ac:dyDescent="0.2"/>
    <row r="1313" ht="16.5" customHeight="1" x14ac:dyDescent="0.2"/>
    <row r="1314" ht="16.5" customHeight="1" x14ac:dyDescent="0.2"/>
    <row r="1315" ht="16.5" customHeight="1" x14ac:dyDescent="0.2"/>
    <row r="1316" ht="16.5" customHeight="1" x14ac:dyDescent="0.2"/>
    <row r="1317" ht="16.5" customHeight="1" x14ac:dyDescent="0.2"/>
    <row r="1318" ht="16.5" customHeight="1" x14ac:dyDescent="0.2"/>
    <row r="1319" ht="16.5" customHeight="1" x14ac:dyDescent="0.2"/>
    <row r="1320" ht="16.5" customHeight="1" x14ac:dyDescent="0.2"/>
    <row r="1321" ht="16.5" customHeight="1" x14ac:dyDescent="0.2"/>
    <row r="1322" ht="16.5" customHeight="1" x14ac:dyDescent="0.2"/>
    <row r="1323" ht="16.5" customHeight="1" x14ac:dyDescent="0.2"/>
    <row r="1324" ht="16.5" customHeight="1" x14ac:dyDescent="0.2"/>
    <row r="1325" ht="16.5" customHeight="1" x14ac:dyDescent="0.2"/>
    <row r="1326" ht="16.5" customHeight="1" x14ac:dyDescent="0.2"/>
    <row r="1327" ht="16.5" customHeight="1" x14ac:dyDescent="0.2"/>
    <row r="1328" ht="16.5" customHeight="1" x14ac:dyDescent="0.2"/>
    <row r="1329" ht="16.5" customHeight="1" x14ac:dyDescent="0.2"/>
    <row r="1330" ht="16.5" customHeight="1" x14ac:dyDescent="0.2"/>
    <row r="1331" ht="16.5" customHeight="1" x14ac:dyDescent="0.2"/>
    <row r="1332" ht="16.5" customHeight="1" x14ac:dyDescent="0.2"/>
    <row r="1333" ht="16.5" customHeight="1" x14ac:dyDescent="0.2"/>
    <row r="1334" ht="16.5" customHeight="1" x14ac:dyDescent="0.2"/>
    <row r="1335" ht="16.5" customHeight="1" x14ac:dyDescent="0.2"/>
    <row r="1336" ht="16.5" customHeight="1" x14ac:dyDescent="0.2"/>
    <row r="1337" ht="16.5" customHeight="1" x14ac:dyDescent="0.2"/>
    <row r="1338" ht="16.5" customHeight="1" x14ac:dyDescent="0.2"/>
    <row r="1339" ht="16.5" customHeight="1" x14ac:dyDescent="0.2"/>
    <row r="1340" ht="16.5" customHeight="1" x14ac:dyDescent="0.2"/>
    <row r="1341" ht="16.5" customHeight="1" x14ac:dyDescent="0.2"/>
    <row r="1342" ht="16.5" customHeight="1" x14ac:dyDescent="0.2"/>
    <row r="1343" ht="16.5" customHeight="1" x14ac:dyDescent="0.2"/>
    <row r="1344" ht="16.5" customHeight="1" x14ac:dyDescent="0.2"/>
    <row r="1345" ht="16.5" customHeight="1" x14ac:dyDescent="0.2"/>
    <row r="1346" ht="16.5" customHeight="1" x14ac:dyDescent="0.2"/>
    <row r="1347" ht="16.5" customHeight="1" x14ac:dyDescent="0.2"/>
    <row r="1348" ht="16.5" customHeight="1" x14ac:dyDescent="0.2"/>
    <row r="1349" ht="16.5" customHeight="1" x14ac:dyDescent="0.2"/>
    <row r="1350" ht="16.5" customHeight="1" x14ac:dyDescent="0.2"/>
    <row r="1351" ht="16.5" customHeight="1" x14ac:dyDescent="0.2"/>
    <row r="1352" ht="16.5" customHeight="1" x14ac:dyDescent="0.2"/>
    <row r="1353" ht="16.5" customHeight="1" x14ac:dyDescent="0.2"/>
    <row r="1354" ht="16.5" customHeight="1" x14ac:dyDescent="0.2"/>
    <row r="1355" ht="16.5" customHeight="1" x14ac:dyDescent="0.2"/>
    <row r="1356" ht="16.5" customHeight="1" x14ac:dyDescent="0.2"/>
    <row r="1357" ht="16.5" customHeight="1" x14ac:dyDescent="0.2"/>
    <row r="1358" ht="16.5" customHeight="1" x14ac:dyDescent="0.2"/>
    <row r="1359" ht="16.5" customHeight="1" x14ac:dyDescent="0.2"/>
    <row r="1360" ht="16.5" customHeight="1" x14ac:dyDescent="0.2"/>
    <row r="1361" ht="16.5" customHeight="1" x14ac:dyDescent="0.2"/>
    <row r="1362" ht="16.5" customHeight="1" x14ac:dyDescent="0.2"/>
    <row r="1363" ht="16.5" customHeight="1" x14ac:dyDescent="0.2"/>
    <row r="1364" ht="16.5" customHeight="1" x14ac:dyDescent="0.2"/>
    <row r="1365" ht="16.5" customHeight="1" x14ac:dyDescent="0.2"/>
    <row r="1366" ht="16.5" customHeight="1" x14ac:dyDescent="0.2"/>
    <row r="1367" ht="16.5" customHeight="1" x14ac:dyDescent="0.2"/>
    <row r="1368" ht="16.5" customHeight="1" x14ac:dyDescent="0.2"/>
    <row r="1369" ht="16.5" customHeight="1" x14ac:dyDescent="0.2"/>
    <row r="1370" ht="16.5" customHeight="1" x14ac:dyDescent="0.2"/>
    <row r="1371" ht="16.5" customHeight="1" x14ac:dyDescent="0.2"/>
    <row r="1372" ht="16.5" customHeight="1" x14ac:dyDescent="0.2"/>
    <row r="1373" ht="16.5" customHeight="1" x14ac:dyDescent="0.2"/>
    <row r="1374" ht="16.5" customHeight="1" x14ac:dyDescent="0.2"/>
    <row r="1375" ht="16.5" customHeight="1" x14ac:dyDescent="0.2"/>
    <row r="1376" ht="16.5" customHeight="1" x14ac:dyDescent="0.2"/>
    <row r="1377" ht="16.5" customHeight="1" x14ac:dyDescent="0.2"/>
    <row r="1378" ht="16.5" customHeight="1" x14ac:dyDescent="0.2"/>
    <row r="1379" ht="16.5" customHeight="1" x14ac:dyDescent="0.2"/>
    <row r="1380" ht="16.5" customHeight="1" x14ac:dyDescent="0.2"/>
    <row r="1381" ht="16.5" customHeight="1" x14ac:dyDescent="0.2"/>
    <row r="1382" ht="16.5" customHeight="1" x14ac:dyDescent="0.2"/>
    <row r="1383" ht="16.5" customHeight="1" x14ac:dyDescent="0.2"/>
    <row r="1384" ht="16.5" customHeight="1" x14ac:dyDescent="0.2"/>
    <row r="1385" ht="16.5" customHeight="1" x14ac:dyDescent="0.2"/>
    <row r="1386" ht="16.5" customHeight="1" x14ac:dyDescent="0.2"/>
    <row r="1387" ht="16.5" customHeight="1" x14ac:dyDescent="0.2"/>
    <row r="1388" ht="16.5" customHeight="1" x14ac:dyDescent="0.2"/>
    <row r="1389" ht="16.5" customHeight="1" x14ac:dyDescent="0.2"/>
    <row r="1390" ht="16.5" customHeight="1" x14ac:dyDescent="0.2"/>
    <row r="1391" ht="16.5" customHeight="1" x14ac:dyDescent="0.2"/>
    <row r="1392" ht="16.5" customHeight="1" x14ac:dyDescent="0.2"/>
    <row r="1393" ht="16.5" customHeight="1" x14ac:dyDescent="0.2"/>
    <row r="1394" ht="16.5" customHeight="1" x14ac:dyDescent="0.2"/>
    <row r="1395" ht="16.5" customHeight="1" x14ac:dyDescent="0.2"/>
    <row r="1396" ht="16.5" customHeight="1" x14ac:dyDescent="0.2"/>
    <row r="1397" ht="16.5" customHeight="1" x14ac:dyDescent="0.2"/>
    <row r="1398" ht="16.5" customHeight="1" x14ac:dyDescent="0.2"/>
    <row r="1399" ht="16.5" customHeight="1" x14ac:dyDescent="0.2"/>
    <row r="1400" ht="16.5" customHeight="1" x14ac:dyDescent="0.2"/>
    <row r="1401" ht="16.5" customHeight="1" x14ac:dyDescent="0.2"/>
    <row r="1402" ht="16.5" customHeight="1" x14ac:dyDescent="0.2"/>
    <row r="1403" ht="16.5" customHeight="1" x14ac:dyDescent="0.2"/>
    <row r="1404" ht="16.5" customHeight="1" x14ac:dyDescent="0.2"/>
    <row r="1405" ht="16.5" customHeight="1" x14ac:dyDescent="0.2"/>
    <row r="1406" ht="16.5" customHeight="1" x14ac:dyDescent="0.2"/>
    <row r="1407" ht="16.5" customHeight="1" x14ac:dyDescent="0.2"/>
    <row r="1408" ht="16.5" customHeight="1" x14ac:dyDescent="0.2"/>
    <row r="1409" ht="16.5" customHeight="1" x14ac:dyDescent="0.2"/>
    <row r="1410" ht="16.5" customHeight="1" x14ac:dyDescent="0.2"/>
    <row r="1411" ht="16.5" customHeight="1" x14ac:dyDescent="0.2"/>
    <row r="1412" ht="16.5" customHeight="1" x14ac:dyDescent="0.2"/>
    <row r="1413" ht="16.5" customHeight="1" x14ac:dyDescent="0.2"/>
    <row r="1414" ht="16.5" customHeight="1" x14ac:dyDescent="0.2"/>
    <row r="1415" ht="16.5" customHeight="1" x14ac:dyDescent="0.2"/>
    <row r="1416" ht="16.5" customHeight="1" x14ac:dyDescent="0.2"/>
    <row r="1417" ht="16.5" customHeight="1" x14ac:dyDescent="0.2"/>
    <row r="1418" ht="16.5" customHeight="1" x14ac:dyDescent="0.2"/>
    <row r="1419" ht="16.5" customHeight="1" x14ac:dyDescent="0.2"/>
    <row r="1420" ht="16.5" customHeight="1" x14ac:dyDescent="0.2"/>
    <row r="1421" ht="16.5" customHeight="1" x14ac:dyDescent="0.2"/>
    <row r="1422" ht="16.5" customHeight="1" x14ac:dyDescent="0.2"/>
    <row r="1423" ht="16.5" customHeight="1" x14ac:dyDescent="0.2"/>
    <row r="1424" ht="16.5" customHeight="1" x14ac:dyDescent="0.2"/>
    <row r="1425" ht="16.5" customHeight="1" x14ac:dyDescent="0.2"/>
    <row r="1426" ht="16.5" customHeight="1" x14ac:dyDescent="0.2"/>
    <row r="1427" ht="16.5" customHeight="1" x14ac:dyDescent="0.2"/>
    <row r="1428" ht="16.5" customHeight="1" x14ac:dyDescent="0.2"/>
    <row r="1429" ht="16.5" customHeight="1" x14ac:dyDescent="0.2"/>
    <row r="1430" ht="16.5" customHeight="1" x14ac:dyDescent="0.2"/>
    <row r="1431" ht="16.5" customHeight="1" x14ac:dyDescent="0.2"/>
    <row r="1432" ht="16.5" customHeight="1" x14ac:dyDescent="0.2"/>
    <row r="1433" ht="16.5" customHeight="1" x14ac:dyDescent="0.2"/>
    <row r="1434" ht="16.5" customHeight="1" x14ac:dyDescent="0.2"/>
    <row r="1435" ht="16.5" customHeight="1" x14ac:dyDescent="0.2"/>
    <row r="1436" ht="16.5" customHeight="1" x14ac:dyDescent="0.2"/>
    <row r="1437" ht="16.5" customHeight="1" x14ac:dyDescent="0.2"/>
    <row r="1438" ht="16.5" customHeight="1" x14ac:dyDescent="0.2"/>
    <row r="1439" ht="16.5" customHeight="1" x14ac:dyDescent="0.2"/>
    <row r="1440" ht="16.5" customHeight="1" x14ac:dyDescent="0.2"/>
    <row r="1441" ht="16.5" customHeight="1" x14ac:dyDescent="0.2"/>
    <row r="1442" ht="16.5" customHeight="1" x14ac:dyDescent="0.2"/>
    <row r="1443" ht="16.5" customHeight="1" x14ac:dyDescent="0.2"/>
    <row r="1444" ht="16.5" customHeight="1" x14ac:dyDescent="0.2"/>
    <row r="1445" ht="16.5" customHeight="1" x14ac:dyDescent="0.2"/>
    <row r="1446" ht="16.5" customHeight="1" x14ac:dyDescent="0.2"/>
    <row r="1447" ht="16.5" customHeight="1" x14ac:dyDescent="0.2"/>
    <row r="1448" ht="16.5" customHeight="1" x14ac:dyDescent="0.2"/>
    <row r="1449" ht="16.5" customHeight="1" x14ac:dyDescent="0.2"/>
    <row r="1450" ht="16.5" customHeight="1" x14ac:dyDescent="0.2"/>
    <row r="1451" ht="16.5" customHeight="1" x14ac:dyDescent="0.2"/>
    <row r="1452" ht="16.5" customHeight="1" x14ac:dyDescent="0.2"/>
    <row r="1453" ht="16.5" customHeight="1" x14ac:dyDescent="0.2"/>
    <row r="1454" ht="16.5" customHeight="1" x14ac:dyDescent="0.2"/>
    <row r="1455" ht="16.5" customHeight="1" x14ac:dyDescent="0.2"/>
    <row r="1456" ht="16.5" customHeight="1" x14ac:dyDescent="0.2"/>
    <row r="1457" ht="16.5" customHeight="1" x14ac:dyDescent="0.2"/>
    <row r="1458" ht="16.5" customHeight="1" x14ac:dyDescent="0.2"/>
    <row r="1459" ht="16.5" customHeight="1" x14ac:dyDescent="0.2"/>
    <row r="1460" ht="16.5" customHeight="1" x14ac:dyDescent="0.2"/>
    <row r="1461" ht="16.5" customHeight="1" x14ac:dyDescent="0.2"/>
    <row r="1462" ht="16.5" customHeight="1" x14ac:dyDescent="0.2"/>
    <row r="1463" ht="16.5" customHeight="1" x14ac:dyDescent="0.2"/>
    <row r="1464" ht="16.5" customHeight="1" x14ac:dyDescent="0.2"/>
    <row r="1465" ht="16.5" customHeight="1" x14ac:dyDescent="0.2"/>
    <row r="1466" ht="16.5" customHeight="1" x14ac:dyDescent="0.2"/>
    <row r="1467" ht="16.5" customHeight="1" x14ac:dyDescent="0.2"/>
    <row r="1468" ht="16.5" customHeight="1" x14ac:dyDescent="0.2"/>
    <row r="1469" ht="16.5" customHeight="1" x14ac:dyDescent="0.2"/>
    <row r="1470" ht="16.5" customHeight="1" x14ac:dyDescent="0.2"/>
    <row r="1471" ht="16.5" customHeight="1" x14ac:dyDescent="0.2"/>
    <row r="1472" ht="16.5" customHeight="1" x14ac:dyDescent="0.2"/>
    <row r="1473" ht="16.5" customHeight="1" x14ac:dyDescent="0.2"/>
    <row r="1474" ht="16.5" customHeight="1" x14ac:dyDescent="0.2"/>
    <row r="1475" ht="16.5" customHeight="1" x14ac:dyDescent="0.2"/>
    <row r="1476" ht="16.5" customHeight="1" x14ac:dyDescent="0.2"/>
    <row r="1477" ht="16.5" customHeight="1" x14ac:dyDescent="0.2"/>
    <row r="1478" ht="16.5" customHeight="1" x14ac:dyDescent="0.2"/>
    <row r="1479" ht="16.5" customHeight="1" x14ac:dyDescent="0.2"/>
    <row r="1480" ht="16.5" customHeight="1" x14ac:dyDescent="0.2"/>
    <row r="1481" ht="16.5" customHeight="1" x14ac:dyDescent="0.2"/>
    <row r="1482" ht="16.5" customHeight="1" x14ac:dyDescent="0.2"/>
    <row r="1483" ht="16.5" customHeight="1" x14ac:dyDescent="0.2"/>
    <row r="1484" ht="16.5" customHeight="1" x14ac:dyDescent="0.2"/>
    <row r="1485" ht="16.5" customHeight="1" x14ac:dyDescent="0.2"/>
    <row r="1486" ht="16.5" customHeight="1" x14ac:dyDescent="0.2"/>
    <row r="1487" ht="16.5" customHeight="1" x14ac:dyDescent="0.2"/>
    <row r="1488" ht="16.5" customHeight="1" x14ac:dyDescent="0.2"/>
    <row r="1489" ht="16.5" customHeight="1" x14ac:dyDescent="0.2"/>
    <row r="1490" ht="16.5" customHeight="1" x14ac:dyDescent="0.2"/>
    <row r="1491" ht="16.5" customHeight="1" x14ac:dyDescent="0.2"/>
    <row r="1492" ht="16.5" customHeight="1" x14ac:dyDescent="0.2"/>
    <row r="1493" ht="16.5" customHeight="1" x14ac:dyDescent="0.2"/>
    <row r="1494" ht="16.5" customHeight="1" x14ac:dyDescent="0.2"/>
    <row r="1495" ht="16.5" customHeight="1" x14ac:dyDescent="0.2"/>
    <row r="1496" ht="16.5" customHeight="1" x14ac:dyDescent="0.2"/>
    <row r="1497" ht="16.5" customHeight="1" x14ac:dyDescent="0.2"/>
    <row r="1498" ht="16.5" customHeight="1" x14ac:dyDescent="0.2"/>
    <row r="1499" ht="16.5" customHeight="1" x14ac:dyDescent="0.2"/>
    <row r="1500" ht="16.5" customHeight="1" x14ac:dyDescent="0.2"/>
    <row r="1501" ht="16.5" customHeight="1" x14ac:dyDescent="0.2"/>
    <row r="1502" ht="16.5" customHeight="1" x14ac:dyDescent="0.2"/>
    <row r="1503" ht="16.5" customHeight="1" x14ac:dyDescent="0.2"/>
    <row r="1504" ht="16.5" customHeight="1" x14ac:dyDescent="0.2"/>
    <row r="1505" ht="16.5" customHeight="1" x14ac:dyDescent="0.2"/>
    <row r="1506" ht="16.5" customHeight="1" x14ac:dyDescent="0.2"/>
    <row r="1507" ht="16.5" customHeight="1" x14ac:dyDescent="0.2"/>
    <row r="1508" ht="16.5" customHeight="1" x14ac:dyDescent="0.2"/>
    <row r="1509" ht="16.5" customHeight="1" x14ac:dyDescent="0.2"/>
    <row r="1510" ht="16.5" customHeight="1" x14ac:dyDescent="0.2"/>
    <row r="1511" ht="16.5" customHeight="1" x14ac:dyDescent="0.2"/>
    <row r="1512" ht="16.5" customHeight="1" x14ac:dyDescent="0.2"/>
    <row r="1513" ht="16.5" customHeight="1" x14ac:dyDescent="0.2"/>
    <row r="1514" ht="16.5" customHeight="1" x14ac:dyDescent="0.2"/>
    <row r="1515" ht="16.5" customHeight="1" x14ac:dyDescent="0.2"/>
    <row r="1516" ht="16.5" customHeight="1" x14ac:dyDescent="0.2"/>
    <row r="1517" ht="16.5" customHeight="1" x14ac:dyDescent="0.2"/>
    <row r="1518" ht="16.5" customHeight="1" x14ac:dyDescent="0.2"/>
    <row r="1519" ht="16.5" customHeight="1" x14ac:dyDescent="0.2"/>
    <row r="1520" ht="16.5" customHeight="1" x14ac:dyDescent="0.2"/>
    <row r="1521" ht="16.5" customHeight="1" x14ac:dyDescent="0.2"/>
    <row r="1522" ht="16.5" customHeight="1" x14ac:dyDescent="0.2"/>
    <row r="1523" ht="16.5" customHeight="1" x14ac:dyDescent="0.2"/>
    <row r="1524" ht="16.5" customHeight="1" x14ac:dyDescent="0.2"/>
    <row r="1525" ht="16.5" customHeight="1" x14ac:dyDescent="0.2"/>
    <row r="1526" ht="16.5" customHeight="1" x14ac:dyDescent="0.2"/>
    <row r="1527" ht="16.5" customHeight="1" x14ac:dyDescent="0.2"/>
    <row r="1528" ht="16.5" customHeight="1" x14ac:dyDescent="0.2"/>
    <row r="1529" ht="16.5" customHeight="1" x14ac:dyDescent="0.2"/>
    <row r="1530" ht="16.5" customHeight="1" x14ac:dyDescent="0.2"/>
    <row r="1531" ht="16.5" customHeight="1" x14ac:dyDescent="0.2"/>
    <row r="1532" ht="16.5" customHeight="1" x14ac:dyDescent="0.2"/>
    <row r="1533" ht="16.5" customHeight="1" x14ac:dyDescent="0.2"/>
    <row r="1534" ht="16.5" customHeight="1" x14ac:dyDescent="0.2"/>
    <row r="1535" ht="16.5" customHeight="1" x14ac:dyDescent="0.2"/>
    <row r="1536" ht="16.5" customHeight="1" x14ac:dyDescent="0.2"/>
    <row r="1537" ht="16.5" customHeight="1" x14ac:dyDescent="0.2"/>
    <row r="1538" ht="16.5" customHeight="1" x14ac:dyDescent="0.2"/>
    <row r="1539" ht="16.5" customHeight="1" x14ac:dyDescent="0.2"/>
    <row r="1540" ht="16.5" customHeight="1" x14ac:dyDescent="0.2"/>
    <row r="1541" ht="16.5" customHeight="1" x14ac:dyDescent="0.2"/>
    <row r="1542" ht="16.5" customHeight="1" x14ac:dyDescent="0.2"/>
    <row r="1543" ht="16.5" customHeight="1" x14ac:dyDescent="0.2"/>
    <row r="1544" ht="16.5" customHeight="1" x14ac:dyDescent="0.2"/>
    <row r="1545" ht="16.5" customHeight="1" x14ac:dyDescent="0.2"/>
    <row r="1546" ht="16.5" customHeight="1" x14ac:dyDescent="0.2"/>
    <row r="1547" ht="16.5" customHeight="1" x14ac:dyDescent="0.2"/>
    <row r="1548" ht="16.5" customHeight="1" x14ac:dyDescent="0.2"/>
    <row r="1549" ht="16.5" customHeight="1" x14ac:dyDescent="0.2"/>
    <row r="1550" ht="16.5" customHeight="1" x14ac:dyDescent="0.2"/>
    <row r="1551" ht="16.5" customHeight="1" x14ac:dyDescent="0.2"/>
    <row r="1552" ht="16.5" customHeight="1" x14ac:dyDescent="0.2"/>
    <row r="1553" ht="16.5" customHeight="1" x14ac:dyDescent="0.2"/>
    <row r="1554" ht="16.5" customHeight="1" x14ac:dyDescent="0.2"/>
    <row r="1555" ht="16.5" customHeight="1" x14ac:dyDescent="0.2"/>
    <row r="1556" ht="16.5" customHeight="1" x14ac:dyDescent="0.2"/>
    <row r="1557" ht="16.5" customHeight="1" x14ac:dyDescent="0.2"/>
    <row r="1558" ht="16.5" customHeight="1" x14ac:dyDescent="0.2"/>
    <row r="1559" ht="16.5" customHeight="1" x14ac:dyDescent="0.2"/>
    <row r="1560" ht="16.5" customHeight="1" x14ac:dyDescent="0.2"/>
    <row r="1561" ht="16.5" customHeight="1" x14ac:dyDescent="0.2"/>
    <row r="1562" ht="16.5" customHeight="1" x14ac:dyDescent="0.2"/>
    <row r="1563" ht="16.5" customHeight="1" x14ac:dyDescent="0.2"/>
    <row r="1564" ht="16.5" customHeight="1" x14ac:dyDescent="0.2"/>
    <row r="1565" ht="16.5" customHeight="1" x14ac:dyDescent="0.2"/>
    <row r="1566" ht="16.5" customHeight="1" x14ac:dyDescent="0.2"/>
    <row r="1567" ht="16.5" customHeight="1" x14ac:dyDescent="0.2"/>
    <row r="1568" ht="16.5" customHeight="1" x14ac:dyDescent="0.2"/>
    <row r="1569" ht="16.5" customHeight="1" x14ac:dyDescent="0.2"/>
    <row r="1570" ht="16.5" customHeight="1" x14ac:dyDescent="0.2"/>
    <row r="1571" ht="16.5" customHeight="1" x14ac:dyDescent="0.2"/>
    <row r="1572" ht="16.5" customHeight="1" x14ac:dyDescent="0.2"/>
    <row r="1573" ht="16.5" customHeight="1" x14ac:dyDescent="0.2"/>
    <row r="1574" ht="16.5" customHeight="1" x14ac:dyDescent="0.2"/>
    <row r="1575" ht="16.5" customHeight="1" x14ac:dyDescent="0.2"/>
    <row r="1576" ht="16.5" customHeight="1" x14ac:dyDescent="0.2"/>
    <row r="1577" ht="16.5" customHeight="1" x14ac:dyDescent="0.2"/>
    <row r="1578" ht="16.5" customHeight="1" x14ac:dyDescent="0.2"/>
    <row r="1579" ht="16.5" customHeight="1" x14ac:dyDescent="0.2"/>
    <row r="1580" ht="16.5" customHeight="1" x14ac:dyDescent="0.2"/>
    <row r="1581" ht="16.5" customHeight="1" x14ac:dyDescent="0.2"/>
    <row r="1582" ht="16.5" customHeight="1" x14ac:dyDescent="0.2"/>
    <row r="1583" ht="16.5" customHeight="1" x14ac:dyDescent="0.2"/>
    <row r="1584" ht="16.5" customHeight="1" x14ac:dyDescent="0.2"/>
    <row r="1585" ht="16.5" customHeight="1" x14ac:dyDescent="0.2"/>
    <row r="1586" ht="16.5" customHeight="1" x14ac:dyDescent="0.2"/>
    <row r="1587" ht="16.5" customHeight="1" x14ac:dyDescent="0.2"/>
    <row r="1588" ht="16.5" customHeight="1" x14ac:dyDescent="0.2"/>
    <row r="1589" ht="16.5" customHeight="1" x14ac:dyDescent="0.2"/>
    <row r="1590" ht="16.5" customHeight="1" x14ac:dyDescent="0.2"/>
    <row r="1591" ht="16.5" customHeight="1" x14ac:dyDescent="0.2"/>
    <row r="1592" ht="16.5" customHeight="1" x14ac:dyDescent="0.2"/>
    <row r="1593" ht="16.5" customHeight="1" x14ac:dyDescent="0.2"/>
    <row r="1594" ht="16.5" customHeight="1" x14ac:dyDescent="0.2"/>
    <row r="1595" ht="16.5" customHeight="1" x14ac:dyDescent="0.2"/>
    <row r="1596" ht="16.5" customHeight="1" x14ac:dyDescent="0.2"/>
    <row r="1597" ht="16.5" customHeight="1" x14ac:dyDescent="0.2"/>
    <row r="1598" ht="16.5" customHeight="1" x14ac:dyDescent="0.2"/>
    <row r="1599" ht="16.5" customHeight="1" x14ac:dyDescent="0.2"/>
    <row r="1600" ht="16.5" customHeight="1" x14ac:dyDescent="0.2"/>
    <row r="1601" ht="16.5" customHeight="1" x14ac:dyDescent="0.2"/>
    <row r="1602" ht="16.5" customHeight="1" x14ac:dyDescent="0.2"/>
    <row r="1603" ht="16.5" customHeight="1" x14ac:dyDescent="0.2"/>
    <row r="1604" ht="16.5" customHeight="1" x14ac:dyDescent="0.2"/>
    <row r="1605" ht="16.5" customHeight="1" x14ac:dyDescent="0.2"/>
    <row r="1606" ht="16.5" customHeight="1" x14ac:dyDescent="0.2"/>
    <row r="1607" ht="16.5" customHeight="1" x14ac:dyDescent="0.2"/>
    <row r="1608" ht="16.5" customHeight="1" x14ac:dyDescent="0.2"/>
    <row r="1609" ht="16.5" customHeight="1" x14ac:dyDescent="0.2"/>
    <row r="1610" ht="16.5" customHeight="1" x14ac:dyDescent="0.2"/>
    <row r="1611" ht="16.5" customHeight="1" x14ac:dyDescent="0.2"/>
    <row r="1612" ht="16.5" customHeight="1" x14ac:dyDescent="0.2"/>
    <row r="1613" ht="16.5" customHeight="1" x14ac:dyDescent="0.2"/>
    <row r="1614" ht="16.5" customHeight="1" x14ac:dyDescent="0.2"/>
    <row r="1615" ht="16.5" customHeight="1" x14ac:dyDescent="0.2"/>
    <row r="1616" ht="16.5" customHeight="1" x14ac:dyDescent="0.2"/>
    <row r="1617" ht="16.5" customHeight="1" x14ac:dyDescent="0.2"/>
    <row r="1618" ht="16.5" customHeight="1" x14ac:dyDescent="0.2"/>
    <row r="1619" ht="16.5" customHeight="1" x14ac:dyDescent="0.2"/>
    <row r="1620" ht="16.5" customHeight="1" x14ac:dyDescent="0.2"/>
    <row r="1621" ht="16.5" customHeight="1" x14ac:dyDescent="0.2"/>
    <row r="1622" ht="16.5" customHeight="1" x14ac:dyDescent="0.2"/>
    <row r="1623" ht="16.5" customHeight="1" x14ac:dyDescent="0.2"/>
    <row r="1624" ht="16.5" customHeight="1" x14ac:dyDescent="0.2"/>
    <row r="1625" ht="16.5" customHeight="1" x14ac:dyDescent="0.2"/>
    <row r="1626" ht="16.5" customHeight="1" x14ac:dyDescent="0.2"/>
    <row r="1627" ht="16.5" customHeight="1" x14ac:dyDescent="0.2"/>
    <row r="1628" ht="16.5" customHeight="1" x14ac:dyDescent="0.2"/>
    <row r="1629" ht="16.5" customHeight="1" x14ac:dyDescent="0.2"/>
    <row r="1630" ht="16.5" customHeight="1" x14ac:dyDescent="0.2"/>
    <row r="1631" ht="16.5" customHeight="1" x14ac:dyDescent="0.2"/>
    <row r="1632" ht="16.5" customHeight="1" x14ac:dyDescent="0.2"/>
    <row r="1633" ht="16.5" customHeight="1" x14ac:dyDescent="0.2"/>
    <row r="1634" ht="16.5" customHeight="1" x14ac:dyDescent="0.2"/>
    <row r="1635" ht="16.5" customHeight="1" x14ac:dyDescent="0.2"/>
    <row r="1636" ht="16.5" customHeight="1" x14ac:dyDescent="0.2"/>
    <row r="1637" ht="16.5" customHeight="1" x14ac:dyDescent="0.2"/>
    <row r="1638" ht="16.5" customHeight="1" x14ac:dyDescent="0.2"/>
    <row r="1639" ht="16.5" customHeight="1" x14ac:dyDescent="0.2"/>
    <row r="1640" ht="16.5" customHeight="1" x14ac:dyDescent="0.2"/>
    <row r="1641" ht="16.5" customHeight="1" x14ac:dyDescent="0.2"/>
    <row r="1642" ht="16.5" customHeight="1" x14ac:dyDescent="0.2"/>
    <row r="1643" ht="16.5" customHeight="1" x14ac:dyDescent="0.2"/>
    <row r="1644" ht="16.5" customHeight="1" x14ac:dyDescent="0.2"/>
    <row r="1645" ht="16.5" customHeight="1" x14ac:dyDescent="0.2"/>
    <row r="1646" ht="16.5" customHeight="1" x14ac:dyDescent="0.2"/>
    <row r="1647" ht="16.5" customHeight="1" x14ac:dyDescent="0.2"/>
    <row r="1648" ht="16.5" customHeight="1" x14ac:dyDescent="0.2"/>
    <row r="1649" ht="16.5" customHeight="1" x14ac:dyDescent="0.2"/>
    <row r="1650" ht="16.5" customHeight="1" x14ac:dyDescent="0.2"/>
    <row r="1651" ht="16.5" customHeight="1" x14ac:dyDescent="0.2"/>
    <row r="1652" ht="16.5" customHeight="1" x14ac:dyDescent="0.2"/>
    <row r="1653" ht="16.5" customHeight="1" x14ac:dyDescent="0.2"/>
    <row r="1654" ht="16.5" customHeight="1" x14ac:dyDescent="0.2"/>
    <row r="1655" ht="16.5" customHeight="1" x14ac:dyDescent="0.2"/>
    <row r="1656" ht="16.5" customHeight="1" x14ac:dyDescent="0.2"/>
    <row r="1657" ht="16.5" customHeight="1" x14ac:dyDescent="0.2"/>
    <row r="1658" ht="16.5" customHeight="1" x14ac:dyDescent="0.2"/>
    <row r="1659" ht="16.5" customHeight="1" x14ac:dyDescent="0.2"/>
    <row r="1660" ht="16.5" customHeight="1" x14ac:dyDescent="0.2"/>
    <row r="1661" ht="16.5" customHeight="1" x14ac:dyDescent="0.2"/>
    <row r="1662" ht="16.5" customHeight="1" x14ac:dyDescent="0.2"/>
    <row r="1663" ht="16.5" customHeight="1" x14ac:dyDescent="0.2"/>
    <row r="1664" ht="16.5" customHeight="1" x14ac:dyDescent="0.2"/>
    <row r="1665" ht="16.5" customHeight="1" x14ac:dyDescent="0.2"/>
    <row r="1666" ht="16.5" customHeight="1" x14ac:dyDescent="0.2"/>
    <row r="1667" ht="16.5" customHeight="1" x14ac:dyDescent="0.2"/>
    <row r="1668" ht="16.5" customHeight="1" x14ac:dyDescent="0.2"/>
    <row r="1669" ht="16.5" customHeight="1" x14ac:dyDescent="0.2"/>
    <row r="1670" ht="16.5" customHeight="1" x14ac:dyDescent="0.2"/>
    <row r="1671" ht="16.5" customHeight="1" x14ac:dyDescent="0.2"/>
    <row r="1672" ht="16.5" customHeight="1" x14ac:dyDescent="0.2"/>
    <row r="1673" ht="16.5" customHeight="1" x14ac:dyDescent="0.2"/>
    <row r="1674" ht="16.5" customHeight="1" x14ac:dyDescent="0.2"/>
    <row r="1675" ht="16.5" customHeight="1" x14ac:dyDescent="0.2"/>
    <row r="1676" ht="16.5" customHeight="1" x14ac:dyDescent="0.2"/>
    <row r="1677" ht="16.5" customHeight="1" x14ac:dyDescent="0.2"/>
    <row r="1678" ht="16.5" customHeight="1" x14ac:dyDescent="0.2"/>
    <row r="1679" ht="16.5" customHeight="1" x14ac:dyDescent="0.2"/>
    <row r="1680" ht="16.5" customHeight="1" x14ac:dyDescent="0.2"/>
    <row r="1681" ht="16.5" customHeight="1" x14ac:dyDescent="0.2"/>
    <row r="1682" ht="16.5" customHeight="1" x14ac:dyDescent="0.2"/>
    <row r="1683" ht="16.5" customHeight="1" x14ac:dyDescent="0.2"/>
    <row r="1684" ht="16.5" customHeight="1" x14ac:dyDescent="0.2"/>
    <row r="1685" ht="16.5" customHeight="1" x14ac:dyDescent="0.2"/>
    <row r="1686" ht="16.5" customHeight="1" x14ac:dyDescent="0.2"/>
    <row r="1687" ht="16.5" customHeight="1" x14ac:dyDescent="0.2"/>
    <row r="1688" ht="16.5" customHeight="1" x14ac:dyDescent="0.2"/>
    <row r="1689" ht="16.5" customHeight="1" x14ac:dyDescent="0.2"/>
    <row r="1690" ht="16.5" customHeight="1" x14ac:dyDescent="0.2"/>
    <row r="1691" ht="16.5" customHeight="1" x14ac:dyDescent="0.2"/>
    <row r="1692" ht="16.5" customHeight="1" x14ac:dyDescent="0.2"/>
    <row r="1693" ht="16.5" customHeight="1" x14ac:dyDescent="0.2"/>
    <row r="1694" ht="16.5" customHeight="1" x14ac:dyDescent="0.2"/>
    <row r="1695" ht="16.5" customHeight="1" x14ac:dyDescent="0.2"/>
    <row r="1696" ht="16.5" customHeight="1" x14ac:dyDescent="0.2"/>
    <row r="1697" ht="16.5" customHeight="1" x14ac:dyDescent="0.2"/>
    <row r="1698" ht="16.5" customHeight="1" x14ac:dyDescent="0.2"/>
    <row r="1699" ht="16.5" customHeight="1" x14ac:dyDescent="0.2"/>
    <row r="1700" ht="16.5" customHeight="1" x14ac:dyDescent="0.2"/>
    <row r="1701" ht="16.5" customHeight="1" x14ac:dyDescent="0.2"/>
    <row r="1702" ht="16.5" customHeight="1" x14ac:dyDescent="0.2"/>
    <row r="1703" ht="16.5" customHeight="1" x14ac:dyDescent="0.2"/>
    <row r="1704" ht="16.5" customHeight="1" x14ac:dyDescent="0.2"/>
    <row r="1705" ht="16.5" customHeight="1" x14ac:dyDescent="0.2"/>
    <row r="1706" ht="16.5" customHeight="1" x14ac:dyDescent="0.2"/>
    <row r="1707" ht="16.5" customHeight="1" x14ac:dyDescent="0.2"/>
    <row r="1708" ht="16.5" customHeight="1" x14ac:dyDescent="0.2"/>
    <row r="1709" ht="16.5" customHeight="1" x14ac:dyDescent="0.2"/>
    <row r="1710" ht="16.5" customHeight="1" x14ac:dyDescent="0.2"/>
    <row r="1711" ht="16.5" customHeight="1" x14ac:dyDescent="0.2"/>
    <row r="1712" ht="16.5" customHeight="1" x14ac:dyDescent="0.2"/>
    <row r="1713" ht="16.5" customHeight="1" x14ac:dyDescent="0.2"/>
    <row r="1714" ht="16.5" customHeight="1" x14ac:dyDescent="0.2"/>
    <row r="1715" ht="16.5" customHeight="1" x14ac:dyDescent="0.2"/>
    <row r="1716" ht="16.5" customHeight="1" x14ac:dyDescent="0.2"/>
    <row r="1717" ht="16.5" customHeight="1" x14ac:dyDescent="0.2"/>
    <row r="1718" ht="16.5" customHeight="1" x14ac:dyDescent="0.2"/>
    <row r="1719" ht="16.5" customHeight="1" x14ac:dyDescent="0.2"/>
    <row r="1720" ht="16.5" customHeight="1" x14ac:dyDescent="0.2"/>
    <row r="1721" ht="16.5" customHeight="1" x14ac:dyDescent="0.2"/>
    <row r="1722" ht="16.5" customHeight="1" x14ac:dyDescent="0.2"/>
    <row r="1723" ht="16.5" customHeight="1" x14ac:dyDescent="0.2"/>
    <row r="1724" ht="16.5" customHeight="1" x14ac:dyDescent="0.2"/>
    <row r="1725" ht="16.5" customHeight="1" x14ac:dyDescent="0.2"/>
    <row r="1726" ht="16.5" customHeight="1" x14ac:dyDescent="0.2"/>
    <row r="1727" ht="16.5" customHeight="1" x14ac:dyDescent="0.2"/>
    <row r="1728" ht="16.5" customHeight="1" x14ac:dyDescent="0.2"/>
    <row r="1729" ht="16.5" customHeight="1" x14ac:dyDescent="0.2"/>
    <row r="1730" ht="16.5" customHeight="1" x14ac:dyDescent="0.2"/>
    <row r="1731" ht="16.5" customHeight="1" x14ac:dyDescent="0.2"/>
    <row r="1732" ht="16.5" customHeight="1" x14ac:dyDescent="0.2"/>
    <row r="1733" ht="16.5" customHeight="1" x14ac:dyDescent="0.2"/>
    <row r="1734" ht="16.5" customHeight="1" x14ac:dyDescent="0.2"/>
    <row r="1735" ht="16.5" customHeight="1" x14ac:dyDescent="0.2"/>
    <row r="1736" ht="16.5" customHeight="1" x14ac:dyDescent="0.2"/>
    <row r="1737" ht="16.5" customHeight="1" x14ac:dyDescent="0.2"/>
    <row r="1738" ht="16.5" customHeight="1" x14ac:dyDescent="0.2"/>
    <row r="1739" ht="16.5" customHeight="1" x14ac:dyDescent="0.2"/>
    <row r="1740" ht="16.5" customHeight="1" x14ac:dyDescent="0.2"/>
    <row r="1741" ht="16.5" customHeight="1" x14ac:dyDescent="0.2"/>
    <row r="1742" ht="16.5" customHeight="1" x14ac:dyDescent="0.2"/>
    <row r="1743" ht="16.5" customHeight="1" x14ac:dyDescent="0.2"/>
    <row r="1744" ht="16.5" customHeight="1" x14ac:dyDescent="0.2"/>
    <row r="1745" ht="16.5" customHeight="1" x14ac:dyDescent="0.2"/>
    <row r="1746" ht="16.5" customHeight="1" x14ac:dyDescent="0.2"/>
    <row r="1747" ht="16.5" customHeight="1" x14ac:dyDescent="0.2"/>
    <row r="1748" ht="16.5" customHeight="1" x14ac:dyDescent="0.2"/>
    <row r="1749" ht="16.5" customHeight="1" x14ac:dyDescent="0.2"/>
    <row r="1750" ht="16.5" customHeight="1" x14ac:dyDescent="0.2"/>
    <row r="1751" ht="16.5" customHeight="1" x14ac:dyDescent="0.2"/>
    <row r="1752" ht="16.5" customHeight="1" x14ac:dyDescent="0.2"/>
    <row r="1753" ht="16.5" customHeight="1" x14ac:dyDescent="0.2"/>
    <row r="1754" ht="16.5" customHeight="1" x14ac:dyDescent="0.2"/>
    <row r="1755" ht="16.5" customHeight="1" x14ac:dyDescent="0.2"/>
    <row r="1756" ht="16.5" customHeight="1" x14ac:dyDescent="0.2"/>
    <row r="1757" ht="16.5" customHeight="1" x14ac:dyDescent="0.2"/>
    <row r="1758" ht="16.5" customHeight="1" x14ac:dyDescent="0.2"/>
    <row r="1759" ht="16.5" customHeight="1" x14ac:dyDescent="0.2"/>
    <row r="1760" ht="16.5" customHeight="1" x14ac:dyDescent="0.2"/>
    <row r="1761" ht="16.5" customHeight="1" x14ac:dyDescent="0.2"/>
    <row r="1762" ht="16.5" customHeight="1" x14ac:dyDescent="0.2"/>
    <row r="1763" ht="16.5" customHeight="1" x14ac:dyDescent="0.2"/>
    <row r="1764" ht="16.5" customHeight="1" x14ac:dyDescent="0.2"/>
    <row r="1765" ht="16.5" customHeight="1" x14ac:dyDescent="0.2"/>
    <row r="1766" ht="16.5" customHeight="1" x14ac:dyDescent="0.2"/>
    <row r="1767" ht="16.5" customHeight="1" x14ac:dyDescent="0.2"/>
    <row r="1768" ht="16.5" customHeight="1" x14ac:dyDescent="0.2"/>
    <row r="1769" ht="16.5" customHeight="1" x14ac:dyDescent="0.2"/>
    <row r="1770" ht="16.5" customHeight="1" x14ac:dyDescent="0.2"/>
    <row r="1771" ht="16.5" customHeight="1" x14ac:dyDescent="0.2"/>
    <row r="1772" ht="16.5" customHeight="1" x14ac:dyDescent="0.2"/>
    <row r="1773" ht="16.5" customHeight="1" x14ac:dyDescent="0.2"/>
    <row r="1774" ht="16.5" customHeight="1" x14ac:dyDescent="0.2"/>
    <row r="1775" ht="16.5" customHeight="1" x14ac:dyDescent="0.2"/>
    <row r="1776" ht="16.5" customHeight="1" x14ac:dyDescent="0.2"/>
    <row r="1777" ht="16.5" customHeight="1" x14ac:dyDescent="0.2"/>
    <row r="1778" ht="16.5" customHeight="1" x14ac:dyDescent="0.2"/>
    <row r="1779" ht="16.5" customHeight="1" x14ac:dyDescent="0.2"/>
    <row r="1780" ht="16.5" customHeight="1" x14ac:dyDescent="0.2"/>
    <row r="1781" ht="16.5" customHeight="1" x14ac:dyDescent="0.2"/>
    <row r="1782" ht="16.5" customHeight="1" x14ac:dyDescent="0.2"/>
    <row r="1783" ht="16.5" customHeight="1" x14ac:dyDescent="0.2"/>
    <row r="1784" ht="16.5" customHeight="1" x14ac:dyDescent="0.2"/>
    <row r="1785" ht="16.5" customHeight="1" x14ac:dyDescent="0.2"/>
    <row r="1786" ht="16.5" customHeight="1" x14ac:dyDescent="0.2"/>
    <row r="1787" ht="16.5" customHeight="1" x14ac:dyDescent="0.2"/>
    <row r="1788" ht="16.5" customHeight="1" x14ac:dyDescent="0.2"/>
    <row r="1789" ht="16.5" customHeight="1" x14ac:dyDescent="0.2"/>
    <row r="1790" ht="16.5" customHeight="1" x14ac:dyDescent="0.2"/>
    <row r="1791" ht="16.5" customHeight="1" x14ac:dyDescent="0.2"/>
    <row r="1792" ht="16.5" customHeight="1" x14ac:dyDescent="0.2"/>
    <row r="1793" ht="16.5" customHeight="1" x14ac:dyDescent="0.2"/>
    <row r="1794" ht="16.5" customHeight="1" x14ac:dyDescent="0.2"/>
    <row r="1795" ht="16.5" customHeight="1" x14ac:dyDescent="0.2"/>
    <row r="1796" ht="16.5" customHeight="1" x14ac:dyDescent="0.2"/>
    <row r="1797" ht="16.5" customHeight="1" x14ac:dyDescent="0.2"/>
    <row r="1798" ht="16.5" customHeight="1" x14ac:dyDescent="0.2"/>
    <row r="1799" ht="16.5" customHeight="1" x14ac:dyDescent="0.2"/>
    <row r="1800" ht="16.5" customHeight="1" x14ac:dyDescent="0.2"/>
    <row r="1801" ht="16.5" customHeight="1" x14ac:dyDescent="0.2"/>
    <row r="1802" ht="16.5" customHeight="1" x14ac:dyDescent="0.2"/>
    <row r="1803" ht="16.5" customHeight="1" x14ac:dyDescent="0.2"/>
    <row r="1804" ht="16.5" customHeight="1" x14ac:dyDescent="0.2"/>
    <row r="1805" ht="16.5" customHeight="1" x14ac:dyDescent="0.2"/>
    <row r="1806" ht="16.5" customHeight="1" x14ac:dyDescent="0.2"/>
    <row r="1807" ht="16.5" customHeight="1" x14ac:dyDescent="0.2"/>
    <row r="1808" ht="16.5" customHeight="1" x14ac:dyDescent="0.2"/>
    <row r="1809" ht="16.5" customHeight="1" x14ac:dyDescent="0.2"/>
    <row r="1810" ht="16.5" customHeight="1" x14ac:dyDescent="0.2"/>
    <row r="1811" ht="16.5" customHeight="1" x14ac:dyDescent="0.2"/>
    <row r="1812" ht="16.5" customHeight="1" x14ac:dyDescent="0.2"/>
    <row r="1813" ht="16.5" customHeight="1" x14ac:dyDescent="0.2"/>
    <row r="1814" ht="16.5" customHeight="1" x14ac:dyDescent="0.2"/>
    <row r="1815" ht="16.5" customHeight="1" x14ac:dyDescent="0.2"/>
    <row r="1816" ht="16.5" customHeight="1" x14ac:dyDescent="0.2"/>
    <row r="1817" ht="16.5" customHeight="1" x14ac:dyDescent="0.2"/>
    <row r="1818" ht="16.5" customHeight="1" x14ac:dyDescent="0.2"/>
    <row r="1819" ht="16.5" customHeight="1" x14ac:dyDescent="0.2"/>
    <row r="1820" ht="16.5" customHeight="1" x14ac:dyDescent="0.2"/>
    <row r="1821" ht="16.5" customHeight="1" x14ac:dyDescent="0.2"/>
    <row r="1822" ht="16.5" customHeight="1" x14ac:dyDescent="0.2"/>
    <row r="1823" ht="16.5" customHeight="1" x14ac:dyDescent="0.2"/>
    <row r="1824" ht="16.5" customHeight="1" x14ac:dyDescent="0.2"/>
    <row r="1825" ht="16.5" customHeight="1" x14ac:dyDescent="0.2"/>
    <row r="1826" ht="16.5" customHeight="1" x14ac:dyDescent="0.2"/>
    <row r="1827" ht="16.5" customHeight="1" x14ac:dyDescent="0.2"/>
    <row r="1828" ht="16.5" customHeight="1" x14ac:dyDescent="0.2"/>
    <row r="1829" ht="16.5" customHeight="1" x14ac:dyDescent="0.2"/>
    <row r="1830" ht="16.5" customHeight="1" x14ac:dyDescent="0.2"/>
    <row r="1831" ht="16.5" customHeight="1" x14ac:dyDescent="0.2"/>
    <row r="1832" ht="16.5" customHeight="1" x14ac:dyDescent="0.2"/>
    <row r="1833" ht="16.5" customHeight="1" x14ac:dyDescent="0.2"/>
    <row r="1834" ht="16.5" customHeight="1" x14ac:dyDescent="0.2"/>
    <row r="1835" ht="16.5" customHeight="1" x14ac:dyDescent="0.2"/>
    <row r="1836" ht="16.5" customHeight="1" x14ac:dyDescent="0.2"/>
    <row r="1837" ht="16.5" customHeight="1" x14ac:dyDescent="0.2"/>
    <row r="1838" ht="16.5" customHeight="1" x14ac:dyDescent="0.2"/>
    <row r="1839" ht="16.5" customHeight="1" x14ac:dyDescent="0.2"/>
    <row r="1840" ht="16.5" customHeight="1" x14ac:dyDescent="0.2"/>
    <row r="1841" ht="16.5" customHeight="1" x14ac:dyDescent="0.2"/>
    <row r="1842" ht="16.5" customHeight="1" x14ac:dyDescent="0.2"/>
    <row r="1843" ht="16.5" customHeight="1" x14ac:dyDescent="0.2"/>
    <row r="1844" ht="16.5" customHeight="1" x14ac:dyDescent="0.2"/>
    <row r="1845" ht="16.5" customHeight="1" x14ac:dyDescent="0.2"/>
    <row r="1846" ht="16.5" customHeight="1" x14ac:dyDescent="0.2"/>
    <row r="1847" ht="16.5" customHeight="1" x14ac:dyDescent="0.2"/>
    <row r="1848" ht="16.5" customHeight="1" x14ac:dyDescent="0.2"/>
    <row r="1849" ht="16.5" customHeight="1" x14ac:dyDescent="0.2"/>
    <row r="1850" ht="16.5" customHeight="1" x14ac:dyDescent="0.2"/>
    <row r="1851" ht="16.5" customHeight="1" x14ac:dyDescent="0.2"/>
    <row r="1852" ht="16.5" customHeight="1" x14ac:dyDescent="0.2"/>
    <row r="1853" ht="16.5" customHeight="1" x14ac:dyDescent="0.2"/>
    <row r="1854" ht="16.5" customHeight="1" x14ac:dyDescent="0.2"/>
    <row r="1855" ht="16.5" customHeight="1" x14ac:dyDescent="0.2"/>
    <row r="1856" ht="16.5" customHeight="1" x14ac:dyDescent="0.2"/>
    <row r="1857" ht="16.5" customHeight="1" x14ac:dyDescent="0.2"/>
    <row r="1858" ht="16.5" customHeight="1" x14ac:dyDescent="0.2"/>
    <row r="1859" ht="16.5" customHeight="1" x14ac:dyDescent="0.2"/>
    <row r="1860" ht="16.5" customHeight="1" x14ac:dyDescent="0.2"/>
    <row r="1861" ht="16.5" customHeight="1" x14ac:dyDescent="0.2"/>
    <row r="1862" ht="16.5" customHeight="1" x14ac:dyDescent="0.2"/>
    <row r="1863" ht="16.5" customHeight="1" x14ac:dyDescent="0.2"/>
    <row r="1864" ht="16.5" customHeight="1" x14ac:dyDescent="0.2"/>
    <row r="1865" ht="16.5" customHeight="1" x14ac:dyDescent="0.2"/>
    <row r="1866" ht="16.5" customHeight="1" x14ac:dyDescent="0.2"/>
    <row r="1867" ht="16.5" customHeight="1" x14ac:dyDescent="0.2"/>
    <row r="1868" ht="16.5" customHeight="1" x14ac:dyDescent="0.2"/>
    <row r="1869" ht="16.5" customHeight="1" x14ac:dyDescent="0.2"/>
    <row r="1870" ht="16.5" customHeight="1" x14ac:dyDescent="0.2"/>
    <row r="1871" ht="16.5" customHeight="1" x14ac:dyDescent="0.2"/>
    <row r="1872" ht="16.5" customHeight="1" x14ac:dyDescent="0.2"/>
    <row r="1873" ht="16.5" customHeight="1" x14ac:dyDescent="0.2"/>
    <row r="1874" ht="16.5" customHeight="1" x14ac:dyDescent="0.2"/>
    <row r="1875" ht="16.5" customHeight="1" x14ac:dyDescent="0.2"/>
    <row r="1876" ht="16.5" customHeight="1" x14ac:dyDescent="0.2"/>
    <row r="1877" ht="16.5" customHeight="1" x14ac:dyDescent="0.2"/>
    <row r="1878" ht="16.5" customHeight="1" x14ac:dyDescent="0.2"/>
    <row r="1879" ht="16.5" customHeight="1" x14ac:dyDescent="0.2"/>
    <row r="1880" ht="16.5" customHeight="1" x14ac:dyDescent="0.2"/>
    <row r="1881" ht="16.5" customHeight="1" x14ac:dyDescent="0.2"/>
    <row r="1882" ht="16.5" customHeight="1" x14ac:dyDescent="0.2"/>
    <row r="1883" ht="16.5" customHeight="1" x14ac:dyDescent="0.2"/>
    <row r="1884" ht="16.5" customHeight="1" x14ac:dyDescent="0.2"/>
    <row r="1885" ht="16.5" customHeight="1" x14ac:dyDescent="0.2"/>
    <row r="1886" ht="16.5" customHeight="1" x14ac:dyDescent="0.2"/>
    <row r="1887" ht="16.5" customHeight="1" x14ac:dyDescent="0.2"/>
    <row r="1888" ht="16.5" customHeight="1" x14ac:dyDescent="0.2"/>
    <row r="1889" ht="16.5" customHeight="1" x14ac:dyDescent="0.2"/>
    <row r="1890" ht="16.5" customHeight="1" x14ac:dyDescent="0.2"/>
    <row r="1891" ht="16.5" customHeight="1" x14ac:dyDescent="0.2"/>
    <row r="1892" ht="16.5" customHeight="1" x14ac:dyDescent="0.2"/>
    <row r="1893" ht="16.5" customHeight="1" x14ac:dyDescent="0.2"/>
    <row r="1894" ht="16.5" customHeight="1" x14ac:dyDescent="0.2"/>
    <row r="1895" ht="16.5" customHeight="1" x14ac:dyDescent="0.2"/>
    <row r="1896" ht="16.5" customHeight="1" x14ac:dyDescent="0.2"/>
    <row r="1897" ht="16.5" customHeight="1" x14ac:dyDescent="0.2"/>
    <row r="1898" ht="16.5" customHeight="1" x14ac:dyDescent="0.2"/>
    <row r="1899" ht="16.5" customHeight="1" x14ac:dyDescent="0.2"/>
    <row r="1900" ht="16.5" customHeight="1" x14ac:dyDescent="0.2"/>
    <row r="1901" ht="16.5" customHeight="1" x14ac:dyDescent="0.2"/>
    <row r="1902" ht="16.5" customHeight="1" x14ac:dyDescent="0.2"/>
    <row r="1903" ht="16.5" customHeight="1" x14ac:dyDescent="0.2"/>
    <row r="1904" ht="16.5" customHeight="1" x14ac:dyDescent="0.2"/>
    <row r="1905" ht="16.5" customHeight="1" x14ac:dyDescent="0.2"/>
    <row r="1906" ht="16.5" customHeight="1" x14ac:dyDescent="0.2"/>
    <row r="1907" ht="16.5" customHeight="1" x14ac:dyDescent="0.2"/>
    <row r="1908" ht="16.5" customHeight="1" x14ac:dyDescent="0.2"/>
    <row r="1909" ht="16.5" customHeight="1" x14ac:dyDescent="0.2"/>
    <row r="1910" ht="16.5" customHeight="1" x14ac:dyDescent="0.2"/>
    <row r="1911" ht="16.5" customHeight="1" x14ac:dyDescent="0.2"/>
    <row r="1912" ht="16.5" customHeight="1" x14ac:dyDescent="0.2"/>
    <row r="1913" ht="16.5" customHeight="1" x14ac:dyDescent="0.2"/>
    <row r="1914" ht="16.5" customHeight="1" x14ac:dyDescent="0.2"/>
    <row r="1915" ht="16.5" customHeight="1" x14ac:dyDescent="0.2"/>
    <row r="1916" ht="16.5" customHeight="1" x14ac:dyDescent="0.2"/>
    <row r="1917" ht="16.5" customHeight="1" x14ac:dyDescent="0.2"/>
    <row r="1918" ht="16.5" customHeight="1" x14ac:dyDescent="0.2"/>
    <row r="1919" ht="16.5" customHeight="1" x14ac:dyDescent="0.2"/>
    <row r="1920" ht="16.5" customHeight="1" x14ac:dyDescent="0.2"/>
    <row r="1921" ht="16.5" customHeight="1" x14ac:dyDescent="0.2"/>
    <row r="1922" ht="16.5" customHeight="1" x14ac:dyDescent="0.2"/>
    <row r="1923" ht="16.5" customHeight="1" x14ac:dyDescent="0.2"/>
    <row r="1924" ht="16.5" customHeight="1" x14ac:dyDescent="0.2"/>
    <row r="1925" ht="16.5" customHeight="1" x14ac:dyDescent="0.2"/>
    <row r="1926" ht="16.5" customHeight="1" x14ac:dyDescent="0.2"/>
    <row r="1927" ht="16.5" customHeight="1" x14ac:dyDescent="0.2"/>
    <row r="1928" ht="16.5" customHeight="1" x14ac:dyDescent="0.2"/>
    <row r="1929" ht="16.5" customHeight="1" x14ac:dyDescent="0.2"/>
    <row r="1930" ht="16.5" customHeight="1" x14ac:dyDescent="0.2"/>
    <row r="1931" ht="16.5" customHeight="1" x14ac:dyDescent="0.2"/>
    <row r="1932" ht="16.5" customHeight="1" x14ac:dyDescent="0.2"/>
    <row r="1933" ht="16.5" customHeight="1" x14ac:dyDescent="0.2"/>
    <row r="1934" ht="16.5" customHeight="1" x14ac:dyDescent="0.2"/>
    <row r="1935" ht="16.5" customHeight="1" x14ac:dyDescent="0.2"/>
    <row r="1936" ht="16.5" customHeight="1" x14ac:dyDescent="0.2"/>
    <row r="1937" ht="16.5" customHeight="1" x14ac:dyDescent="0.2"/>
    <row r="1938" ht="16.5" customHeight="1" x14ac:dyDescent="0.2"/>
    <row r="1939" ht="16.5" customHeight="1" x14ac:dyDescent="0.2"/>
    <row r="1940" ht="16.5" customHeight="1" x14ac:dyDescent="0.2"/>
    <row r="1941" ht="16.5" customHeight="1" x14ac:dyDescent="0.2"/>
    <row r="1942" ht="16.5" customHeight="1" x14ac:dyDescent="0.2"/>
    <row r="1943" ht="16.5" customHeight="1" x14ac:dyDescent="0.2"/>
    <row r="1944" ht="16.5" customHeight="1" x14ac:dyDescent="0.2"/>
    <row r="1945" ht="16.5" customHeight="1" x14ac:dyDescent="0.2"/>
    <row r="1946" ht="16.5" customHeight="1" x14ac:dyDescent="0.2"/>
    <row r="1947" ht="16.5" customHeight="1" x14ac:dyDescent="0.2"/>
    <row r="1948" ht="16.5" customHeight="1" x14ac:dyDescent="0.2"/>
    <row r="1949" ht="16.5" customHeight="1" x14ac:dyDescent="0.2"/>
    <row r="1950" ht="16.5" customHeight="1" x14ac:dyDescent="0.2"/>
    <row r="1951" ht="16.5" customHeight="1" x14ac:dyDescent="0.2"/>
    <row r="1952" ht="16.5" customHeight="1" x14ac:dyDescent="0.2"/>
    <row r="1953" ht="16.5" customHeight="1" x14ac:dyDescent="0.2"/>
    <row r="1954" ht="16.5" customHeight="1" x14ac:dyDescent="0.2"/>
    <row r="1955" ht="16.5" customHeight="1" x14ac:dyDescent="0.2"/>
    <row r="1956" ht="16.5" customHeight="1" x14ac:dyDescent="0.2"/>
    <row r="1957" ht="16.5" customHeight="1" x14ac:dyDescent="0.2"/>
    <row r="1958" ht="16.5" customHeight="1" x14ac:dyDescent="0.2"/>
    <row r="1959" ht="16.5" customHeight="1" x14ac:dyDescent="0.2"/>
    <row r="1960" ht="16.5" customHeight="1" x14ac:dyDescent="0.2"/>
    <row r="1961" ht="16.5" customHeight="1" x14ac:dyDescent="0.2"/>
    <row r="1962" ht="16.5" customHeight="1" x14ac:dyDescent="0.2"/>
    <row r="1963" ht="16.5" customHeight="1" x14ac:dyDescent="0.2"/>
    <row r="1964" ht="16.5" customHeight="1" x14ac:dyDescent="0.2"/>
    <row r="1965" ht="16.5" customHeight="1" x14ac:dyDescent="0.2"/>
    <row r="1966" ht="16.5" customHeight="1" x14ac:dyDescent="0.2"/>
    <row r="1967" ht="16.5" customHeight="1" x14ac:dyDescent="0.2"/>
    <row r="1968" ht="16.5" customHeight="1" x14ac:dyDescent="0.2"/>
    <row r="1969" ht="16.5" customHeight="1" x14ac:dyDescent="0.2"/>
    <row r="1970" ht="16.5" customHeight="1" x14ac:dyDescent="0.2"/>
    <row r="1971" ht="16.5" customHeight="1" x14ac:dyDescent="0.2"/>
    <row r="1972" ht="16.5" customHeight="1" x14ac:dyDescent="0.2"/>
    <row r="1973" ht="16.5" customHeight="1" x14ac:dyDescent="0.2"/>
    <row r="1974" ht="16.5" customHeight="1" x14ac:dyDescent="0.2"/>
    <row r="1975" ht="16.5" customHeight="1" x14ac:dyDescent="0.2"/>
    <row r="1976" ht="16.5" customHeight="1" x14ac:dyDescent="0.2"/>
    <row r="1977" ht="16.5" customHeight="1" x14ac:dyDescent="0.2"/>
    <row r="1978" ht="16.5" customHeight="1" x14ac:dyDescent="0.2"/>
    <row r="1979" ht="16.5" customHeight="1" x14ac:dyDescent="0.2"/>
    <row r="1980" ht="16.5" customHeight="1" x14ac:dyDescent="0.2"/>
    <row r="1981" ht="16.5" customHeight="1" x14ac:dyDescent="0.2"/>
    <row r="1982" ht="16.5" customHeight="1" x14ac:dyDescent="0.2"/>
    <row r="1983" ht="16.5" customHeight="1" x14ac:dyDescent="0.2"/>
    <row r="1984" ht="16.5" customHeight="1" x14ac:dyDescent="0.2"/>
    <row r="1985" ht="16.5" customHeight="1" x14ac:dyDescent="0.2"/>
    <row r="1986" ht="16.5" customHeight="1" x14ac:dyDescent="0.2"/>
    <row r="1987" ht="16.5" customHeight="1" x14ac:dyDescent="0.2"/>
    <row r="1988" ht="16.5" customHeight="1" x14ac:dyDescent="0.2"/>
    <row r="1989" ht="16.5" customHeight="1" x14ac:dyDescent="0.2"/>
    <row r="1990" ht="16.5" customHeight="1" x14ac:dyDescent="0.2"/>
    <row r="1991" ht="16.5" customHeight="1" x14ac:dyDescent="0.2"/>
    <row r="1992" ht="16.5" customHeight="1" x14ac:dyDescent="0.2"/>
    <row r="1993" ht="16.5" customHeight="1" x14ac:dyDescent="0.2"/>
    <row r="1994" ht="16.5" customHeight="1" x14ac:dyDescent="0.2"/>
    <row r="1995" ht="16.5" customHeight="1" x14ac:dyDescent="0.2"/>
    <row r="1996" ht="16.5" customHeight="1" x14ac:dyDescent="0.2"/>
    <row r="1997" ht="16.5" customHeight="1" x14ac:dyDescent="0.2"/>
    <row r="1998" ht="16.5" customHeight="1" x14ac:dyDescent="0.2"/>
    <row r="1999" ht="16.5" customHeight="1" x14ac:dyDescent="0.2"/>
    <row r="2000" ht="16.5" customHeight="1" x14ac:dyDescent="0.2"/>
    <row r="2001" ht="16.5" customHeight="1" x14ac:dyDescent="0.2"/>
    <row r="2002" ht="16.5" customHeight="1" x14ac:dyDescent="0.2"/>
    <row r="2003" ht="16.5" customHeight="1" x14ac:dyDescent="0.2"/>
    <row r="2004" ht="16.5" customHeight="1" x14ac:dyDescent="0.2"/>
    <row r="2005" ht="16.5" customHeight="1" x14ac:dyDescent="0.2"/>
    <row r="2006" ht="16.5" customHeight="1" x14ac:dyDescent="0.2"/>
    <row r="2007" ht="16.5" customHeight="1" x14ac:dyDescent="0.2"/>
    <row r="2008" ht="16.5" customHeight="1" x14ac:dyDescent="0.2"/>
    <row r="2009" ht="16.5" customHeight="1" x14ac:dyDescent="0.2"/>
    <row r="2010" ht="16.5" customHeight="1" x14ac:dyDescent="0.2"/>
    <row r="2011" ht="16.5" customHeight="1" x14ac:dyDescent="0.2"/>
    <row r="2012" ht="16.5" customHeight="1" x14ac:dyDescent="0.2"/>
    <row r="2013" ht="16.5" customHeight="1" x14ac:dyDescent="0.2"/>
    <row r="2014" ht="16.5" customHeight="1" x14ac:dyDescent="0.2"/>
    <row r="2015" ht="16.5" customHeight="1" x14ac:dyDescent="0.2"/>
    <row r="2016" ht="16.5" customHeight="1" x14ac:dyDescent="0.2"/>
    <row r="2017" ht="16.5" customHeight="1" x14ac:dyDescent="0.2"/>
    <row r="2018" ht="16.5" customHeight="1" x14ac:dyDescent="0.2"/>
    <row r="2019" ht="16.5" customHeight="1" x14ac:dyDescent="0.2"/>
    <row r="2020" ht="16.5" customHeight="1" x14ac:dyDescent="0.2"/>
    <row r="2021" ht="16.5" customHeight="1" x14ac:dyDescent="0.2"/>
    <row r="2022" ht="16.5" customHeight="1" x14ac:dyDescent="0.2"/>
    <row r="2023" ht="16.5" customHeight="1" x14ac:dyDescent="0.2"/>
    <row r="2024" ht="16.5" customHeight="1" x14ac:dyDescent="0.2"/>
    <row r="2025" ht="16.5" customHeight="1" x14ac:dyDescent="0.2"/>
    <row r="2026" ht="16.5" customHeight="1" x14ac:dyDescent="0.2"/>
    <row r="2027" ht="16.5" customHeight="1" x14ac:dyDescent="0.2"/>
    <row r="2028" ht="16.5" customHeight="1" x14ac:dyDescent="0.2"/>
    <row r="2029" ht="16.5" customHeight="1" x14ac:dyDescent="0.2"/>
    <row r="2030" ht="16.5" customHeight="1" x14ac:dyDescent="0.2"/>
    <row r="2031" ht="16.5" customHeight="1" x14ac:dyDescent="0.2"/>
    <row r="2032" ht="16.5" customHeight="1" x14ac:dyDescent="0.2"/>
    <row r="2033" ht="16.5" customHeight="1" x14ac:dyDescent="0.2"/>
    <row r="2034" ht="16.5" customHeight="1" x14ac:dyDescent="0.2"/>
    <row r="2035" ht="16.5" customHeight="1" x14ac:dyDescent="0.2"/>
    <row r="2036" ht="16.5" customHeight="1" x14ac:dyDescent="0.2"/>
    <row r="2037" ht="16.5" customHeight="1" x14ac:dyDescent="0.2"/>
    <row r="2038" ht="16.5" customHeight="1" x14ac:dyDescent="0.2"/>
    <row r="2039" ht="16.5" customHeight="1" x14ac:dyDescent="0.2"/>
    <row r="2040" ht="16.5" customHeight="1" x14ac:dyDescent="0.2"/>
    <row r="2041" ht="16.5" customHeight="1" x14ac:dyDescent="0.2"/>
    <row r="2042" ht="16.5" customHeight="1" x14ac:dyDescent="0.2"/>
    <row r="2043" ht="16.5" customHeight="1" x14ac:dyDescent="0.2"/>
    <row r="2044" ht="16.5" customHeight="1" x14ac:dyDescent="0.2"/>
    <row r="2045" ht="16.5" customHeight="1" x14ac:dyDescent="0.2"/>
    <row r="2046" ht="16.5" customHeight="1" x14ac:dyDescent="0.2"/>
    <row r="2047" ht="16.5" customHeight="1" x14ac:dyDescent="0.2"/>
    <row r="2048" ht="16.5" customHeight="1" x14ac:dyDescent="0.2"/>
    <row r="2049" ht="16.5" customHeight="1" x14ac:dyDescent="0.2"/>
    <row r="2050" ht="16.5" customHeight="1" x14ac:dyDescent="0.2"/>
    <row r="2051" ht="16.5" customHeight="1" x14ac:dyDescent="0.2"/>
    <row r="2052" ht="16.5" customHeight="1" x14ac:dyDescent="0.2"/>
    <row r="2053" ht="16.5" customHeight="1" x14ac:dyDescent="0.2"/>
    <row r="2054" ht="16.5" customHeight="1" x14ac:dyDescent="0.2"/>
    <row r="2055" ht="16.5" customHeight="1" x14ac:dyDescent="0.2"/>
    <row r="2056" ht="16.5" customHeight="1" x14ac:dyDescent="0.2"/>
    <row r="2057" ht="16.5" customHeight="1" x14ac:dyDescent="0.2"/>
    <row r="2058" ht="16.5" customHeight="1" x14ac:dyDescent="0.2"/>
    <row r="2059" ht="16.5" customHeight="1" x14ac:dyDescent="0.2"/>
    <row r="2060" ht="16.5" customHeight="1" x14ac:dyDescent="0.2"/>
    <row r="2061" ht="16.5" customHeight="1" x14ac:dyDescent="0.2"/>
    <row r="2062" ht="16.5" customHeight="1" x14ac:dyDescent="0.2"/>
    <row r="2063" ht="16.5" customHeight="1" x14ac:dyDescent="0.2"/>
    <row r="2064" ht="16.5" customHeight="1" x14ac:dyDescent="0.2"/>
    <row r="2065" ht="16.5" customHeight="1" x14ac:dyDescent="0.2"/>
    <row r="2066" ht="16.5" customHeight="1" x14ac:dyDescent="0.2"/>
    <row r="2067" ht="16.5" customHeight="1" x14ac:dyDescent="0.2"/>
    <row r="2068" ht="16.5" customHeight="1" x14ac:dyDescent="0.2"/>
    <row r="2069" ht="16.5" customHeight="1" x14ac:dyDescent="0.2"/>
    <row r="2070" ht="16.5" customHeight="1" x14ac:dyDescent="0.2"/>
    <row r="2071" ht="16.5" customHeight="1" x14ac:dyDescent="0.2"/>
    <row r="2072" ht="16.5" customHeight="1" x14ac:dyDescent="0.2"/>
    <row r="2073" ht="16.5" customHeight="1" x14ac:dyDescent="0.2"/>
    <row r="2074" ht="16.5" customHeight="1" x14ac:dyDescent="0.2"/>
    <row r="2075" ht="16.5" customHeight="1" x14ac:dyDescent="0.2"/>
    <row r="2076" ht="16.5" customHeight="1" x14ac:dyDescent="0.2"/>
    <row r="2077" ht="16.5" customHeight="1" x14ac:dyDescent="0.2"/>
    <row r="2078" ht="16.5" customHeight="1" x14ac:dyDescent="0.2"/>
    <row r="2079" ht="16.5" customHeight="1" x14ac:dyDescent="0.2"/>
    <row r="2080" ht="16.5" customHeight="1" x14ac:dyDescent="0.2"/>
    <row r="2081" ht="16.5" customHeight="1" x14ac:dyDescent="0.2"/>
    <row r="2082" ht="16.5" customHeight="1" x14ac:dyDescent="0.2"/>
    <row r="2083" ht="16.5" customHeight="1" x14ac:dyDescent="0.2"/>
    <row r="2084" ht="16.5" customHeight="1" x14ac:dyDescent="0.2"/>
    <row r="2085" ht="16.5" customHeight="1" x14ac:dyDescent="0.2"/>
    <row r="2086" ht="16.5" customHeight="1" x14ac:dyDescent="0.2"/>
    <row r="2087" ht="16.5" customHeight="1" x14ac:dyDescent="0.2"/>
    <row r="2088" ht="16.5" customHeight="1" x14ac:dyDescent="0.2"/>
    <row r="2089" ht="16.5" customHeight="1" x14ac:dyDescent="0.2"/>
    <row r="2090" ht="16.5" customHeight="1" x14ac:dyDescent="0.2"/>
    <row r="2091" ht="16.5" customHeight="1" x14ac:dyDescent="0.2"/>
    <row r="2092" ht="16.5" customHeight="1" x14ac:dyDescent="0.2"/>
    <row r="2093" ht="16.5" customHeight="1" x14ac:dyDescent="0.2"/>
    <row r="2094" ht="16.5" customHeight="1" x14ac:dyDescent="0.2"/>
    <row r="2095" ht="16.5" customHeight="1" x14ac:dyDescent="0.2"/>
    <row r="2096" ht="16.5" customHeight="1" x14ac:dyDescent="0.2"/>
    <row r="2097" ht="16.5" customHeight="1" x14ac:dyDescent="0.2"/>
    <row r="2098" ht="16.5" customHeight="1" x14ac:dyDescent="0.2"/>
    <row r="2099" ht="16.5" customHeight="1" x14ac:dyDescent="0.2"/>
    <row r="2100" ht="16.5" customHeight="1" x14ac:dyDescent="0.2"/>
    <row r="2101" ht="16.5" customHeight="1" x14ac:dyDescent="0.2"/>
    <row r="2102" ht="16.5" customHeight="1" x14ac:dyDescent="0.2"/>
    <row r="2103" ht="16.5" customHeight="1" x14ac:dyDescent="0.2"/>
    <row r="2104" ht="16.5" customHeight="1" x14ac:dyDescent="0.2"/>
    <row r="2105" ht="16.5" customHeight="1" x14ac:dyDescent="0.2"/>
    <row r="2106" ht="16.5" customHeight="1" x14ac:dyDescent="0.2"/>
    <row r="2107" ht="16.5" customHeight="1" x14ac:dyDescent="0.2"/>
    <row r="2108" ht="16.5" customHeight="1" x14ac:dyDescent="0.2"/>
    <row r="2109" ht="16.5" customHeight="1" x14ac:dyDescent="0.2"/>
    <row r="2110" ht="16.5" customHeight="1" x14ac:dyDescent="0.2"/>
    <row r="2111" ht="16.5" customHeight="1" x14ac:dyDescent="0.2"/>
    <row r="2112" ht="16.5" customHeight="1" x14ac:dyDescent="0.2"/>
    <row r="2113" ht="16.5" customHeight="1" x14ac:dyDescent="0.2"/>
    <row r="2114" ht="16.5" customHeight="1" x14ac:dyDescent="0.2"/>
    <row r="2115" ht="16.5" customHeight="1" x14ac:dyDescent="0.2"/>
    <row r="2116" ht="16.5" customHeight="1" x14ac:dyDescent="0.2"/>
    <row r="2117" ht="16.5" customHeight="1" x14ac:dyDescent="0.2"/>
    <row r="2118" ht="16.5" customHeight="1" x14ac:dyDescent="0.2"/>
    <row r="2119" ht="16.5" customHeight="1" x14ac:dyDescent="0.2"/>
    <row r="2120" ht="16.5" customHeight="1" x14ac:dyDescent="0.2"/>
    <row r="2121" ht="16.5" customHeight="1" x14ac:dyDescent="0.2"/>
    <row r="2122" ht="16.5" customHeight="1" x14ac:dyDescent="0.2"/>
    <row r="2123" ht="16.5" customHeight="1" x14ac:dyDescent="0.2"/>
    <row r="2124" ht="16.5" customHeight="1" x14ac:dyDescent="0.2"/>
    <row r="2125" ht="16.5" customHeight="1" x14ac:dyDescent="0.2"/>
    <row r="2126" ht="16.5" customHeight="1" x14ac:dyDescent="0.2"/>
    <row r="2127" ht="16.5" customHeight="1" x14ac:dyDescent="0.2"/>
    <row r="2128" ht="16.5" customHeight="1" x14ac:dyDescent="0.2"/>
    <row r="2129" ht="16.5" customHeight="1" x14ac:dyDescent="0.2"/>
    <row r="2130" ht="16.5" customHeight="1" x14ac:dyDescent="0.2"/>
    <row r="2131" ht="16.5" customHeight="1" x14ac:dyDescent="0.2"/>
    <row r="2132" ht="16.5" customHeight="1" x14ac:dyDescent="0.2"/>
    <row r="2133" ht="16.5" customHeight="1" x14ac:dyDescent="0.2"/>
    <row r="2134" ht="16.5" customHeight="1" x14ac:dyDescent="0.2"/>
    <row r="2135" ht="16.5" customHeight="1" x14ac:dyDescent="0.2"/>
    <row r="2136" ht="16.5" customHeight="1" x14ac:dyDescent="0.2"/>
    <row r="2137" ht="16.5" customHeight="1" x14ac:dyDescent="0.2"/>
    <row r="2138" ht="16.5" customHeight="1" x14ac:dyDescent="0.2"/>
    <row r="2139" ht="16.5" customHeight="1" x14ac:dyDescent="0.2"/>
    <row r="2140" ht="16.5" customHeight="1" x14ac:dyDescent="0.2"/>
    <row r="2141" ht="16.5" customHeight="1" x14ac:dyDescent="0.2"/>
    <row r="2142" ht="16.5" customHeight="1" x14ac:dyDescent="0.2"/>
    <row r="2143" ht="16.5" customHeight="1" x14ac:dyDescent="0.2"/>
    <row r="2144" ht="16.5" customHeight="1" x14ac:dyDescent="0.2"/>
    <row r="2145" ht="16.5" customHeight="1" x14ac:dyDescent="0.2"/>
    <row r="2146" ht="16.5" customHeight="1" x14ac:dyDescent="0.2"/>
    <row r="2147" ht="16.5" customHeight="1" x14ac:dyDescent="0.2"/>
    <row r="2148" ht="16.5" customHeight="1" x14ac:dyDescent="0.2"/>
    <row r="2149" ht="16.5" customHeight="1" x14ac:dyDescent="0.2"/>
    <row r="2150" ht="16.5" customHeight="1" x14ac:dyDescent="0.2"/>
    <row r="2151" ht="16.5" customHeight="1" x14ac:dyDescent="0.2"/>
    <row r="2152" ht="16.5" customHeight="1" x14ac:dyDescent="0.2"/>
    <row r="2153" ht="16.5" customHeight="1" x14ac:dyDescent="0.2"/>
    <row r="2154" ht="16.5" customHeight="1" x14ac:dyDescent="0.2"/>
    <row r="2155" ht="16.5" customHeight="1" x14ac:dyDescent="0.2"/>
    <row r="2156" ht="16.5" customHeight="1" x14ac:dyDescent="0.2"/>
    <row r="2157" ht="16.5" customHeight="1" x14ac:dyDescent="0.2"/>
    <row r="2158" ht="16.5" customHeight="1" x14ac:dyDescent="0.2"/>
    <row r="2159" ht="16.5" customHeight="1" x14ac:dyDescent="0.2"/>
    <row r="2160" ht="16.5" customHeight="1" x14ac:dyDescent="0.2"/>
    <row r="2161" ht="16.5" customHeight="1" x14ac:dyDescent="0.2"/>
    <row r="2162" ht="16.5" customHeight="1" x14ac:dyDescent="0.2"/>
    <row r="2163" ht="16.5" customHeight="1" x14ac:dyDescent="0.2"/>
    <row r="2164" ht="16.5" customHeight="1" x14ac:dyDescent="0.2"/>
    <row r="2165" ht="16.5" customHeight="1" x14ac:dyDescent="0.2"/>
    <row r="2166" ht="16.5" customHeight="1" x14ac:dyDescent="0.2"/>
    <row r="2167" ht="16.5" customHeight="1" x14ac:dyDescent="0.2"/>
    <row r="2168" ht="16.5" customHeight="1" x14ac:dyDescent="0.2"/>
    <row r="2169" ht="16.5" customHeight="1" x14ac:dyDescent="0.2"/>
    <row r="2170" ht="16.5" customHeight="1" x14ac:dyDescent="0.2"/>
    <row r="2171" ht="16.5" customHeight="1" x14ac:dyDescent="0.2"/>
    <row r="2172" ht="16.5" customHeight="1" x14ac:dyDescent="0.2"/>
    <row r="2173" ht="16.5" customHeight="1" x14ac:dyDescent="0.2"/>
    <row r="2174" ht="16.5" customHeight="1" x14ac:dyDescent="0.2"/>
    <row r="2175" ht="16.5" customHeight="1" x14ac:dyDescent="0.2"/>
    <row r="2176" ht="16.5" customHeight="1" x14ac:dyDescent="0.2"/>
    <row r="2177" ht="16.5" customHeight="1" x14ac:dyDescent="0.2"/>
    <row r="2178" ht="16.5" customHeight="1" x14ac:dyDescent="0.2"/>
    <row r="2179" ht="16.5" customHeight="1" x14ac:dyDescent="0.2"/>
    <row r="2180" ht="16.5" customHeight="1" x14ac:dyDescent="0.2"/>
    <row r="2181" ht="16.5" customHeight="1" x14ac:dyDescent="0.2"/>
    <row r="2182" ht="16.5" customHeight="1" x14ac:dyDescent="0.2"/>
    <row r="2183" ht="16.5" customHeight="1" x14ac:dyDescent="0.2"/>
    <row r="2184" ht="16.5" customHeight="1" x14ac:dyDescent="0.2"/>
    <row r="2185" ht="16.5" customHeight="1" x14ac:dyDescent="0.2"/>
    <row r="2186" ht="16.5" customHeight="1" x14ac:dyDescent="0.2"/>
    <row r="2187" ht="16.5" customHeight="1" x14ac:dyDescent="0.2"/>
    <row r="2188" ht="16.5" customHeight="1" x14ac:dyDescent="0.2"/>
    <row r="2189" ht="16.5" customHeight="1" x14ac:dyDescent="0.2"/>
    <row r="2190" ht="16.5" customHeight="1" x14ac:dyDescent="0.2"/>
    <row r="2191" ht="16.5" customHeight="1" x14ac:dyDescent="0.2"/>
    <row r="2192" ht="16.5" customHeight="1" x14ac:dyDescent="0.2"/>
    <row r="2193" ht="16.5" customHeight="1" x14ac:dyDescent="0.2"/>
    <row r="2194" ht="16.5" customHeight="1" x14ac:dyDescent="0.2"/>
    <row r="2195" ht="16.5" customHeight="1" x14ac:dyDescent="0.2"/>
    <row r="2196" ht="16.5" customHeight="1" x14ac:dyDescent="0.2"/>
    <row r="2197" ht="16.5" customHeight="1" x14ac:dyDescent="0.2"/>
    <row r="2198" ht="16.5" customHeight="1" x14ac:dyDescent="0.2"/>
    <row r="2199" ht="16.5" customHeight="1" x14ac:dyDescent="0.2"/>
    <row r="2200" ht="16.5" customHeight="1" x14ac:dyDescent="0.2"/>
    <row r="2201" ht="16.5" customHeight="1" x14ac:dyDescent="0.2"/>
    <row r="2202" ht="16.5" customHeight="1" x14ac:dyDescent="0.2"/>
    <row r="2203" ht="16.5" customHeight="1" x14ac:dyDescent="0.2"/>
    <row r="2204" ht="16.5" customHeight="1" x14ac:dyDescent="0.2"/>
    <row r="2205" ht="16.5" customHeight="1" x14ac:dyDescent="0.2"/>
    <row r="2206" ht="16.5" customHeight="1" x14ac:dyDescent="0.2"/>
    <row r="2207" ht="16.5" customHeight="1" x14ac:dyDescent="0.2"/>
    <row r="2208" ht="16.5" customHeight="1" x14ac:dyDescent="0.2"/>
    <row r="2209" ht="16.5" customHeight="1" x14ac:dyDescent="0.2"/>
    <row r="2210" ht="16.5" customHeight="1" x14ac:dyDescent="0.2"/>
    <row r="2211" ht="16.5" customHeight="1" x14ac:dyDescent="0.2"/>
    <row r="2212" ht="16.5" customHeight="1" x14ac:dyDescent="0.2"/>
    <row r="2213" ht="16.5" customHeight="1" x14ac:dyDescent="0.2"/>
    <row r="2214" ht="16.5" customHeight="1" x14ac:dyDescent="0.2"/>
    <row r="2215" ht="16.5" customHeight="1" x14ac:dyDescent="0.2"/>
    <row r="2216" ht="16.5" customHeight="1" x14ac:dyDescent="0.2"/>
    <row r="2217" ht="16.5" customHeight="1" x14ac:dyDescent="0.2"/>
    <row r="2218" ht="16.5" customHeight="1" x14ac:dyDescent="0.2"/>
    <row r="2219" ht="16.5" customHeight="1" x14ac:dyDescent="0.2"/>
    <row r="2220" ht="16.5" customHeight="1" x14ac:dyDescent="0.2"/>
    <row r="2221" ht="16.5" customHeight="1" x14ac:dyDescent="0.2"/>
    <row r="2222" ht="16.5" customHeight="1" x14ac:dyDescent="0.2"/>
    <row r="2223" ht="16.5" customHeight="1" x14ac:dyDescent="0.2"/>
    <row r="2224" ht="16.5" customHeight="1" x14ac:dyDescent="0.2"/>
    <row r="2225" ht="16.5" customHeight="1" x14ac:dyDescent="0.2"/>
    <row r="2226" ht="16.5" customHeight="1" x14ac:dyDescent="0.2"/>
    <row r="2227" ht="16.5" customHeight="1" x14ac:dyDescent="0.2"/>
    <row r="2228" ht="16.5" customHeight="1" x14ac:dyDescent="0.2"/>
    <row r="2229" ht="16.5" customHeight="1" x14ac:dyDescent="0.2"/>
    <row r="2230" ht="16.5" customHeight="1" x14ac:dyDescent="0.2"/>
    <row r="2231" ht="16.5" customHeight="1" x14ac:dyDescent="0.2"/>
    <row r="2232" ht="16.5" customHeight="1" x14ac:dyDescent="0.2"/>
    <row r="2233" ht="16.5" customHeight="1" x14ac:dyDescent="0.2"/>
    <row r="2234" ht="16.5" customHeight="1" x14ac:dyDescent="0.2"/>
    <row r="2235" ht="16.5" customHeight="1" x14ac:dyDescent="0.2"/>
    <row r="2236" ht="16.5" customHeight="1" x14ac:dyDescent="0.2"/>
    <row r="2237" ht="16.5" customHeight="1" x14ac:dyDescent="0.2"/>
    <row r="2238" ht="16.5" customHeight="1" x14ac:dyDescent="0.2"/>
    <row r="2239" ht="16.5" customHeight="1" x14ac:dyDescent="0.2"/>
    <row r="2240" ht="16.5" customHeight="1" x14ac:dyDescent="0.2"/>
    <row r="2241" ht="16.5" customHeight="1" x14ac:dyDescent="0.2"/>
    <row r="2242" ht="16.5" customHeight="1" x14ac:dyDescent="0.2"/>
    <row r="2243" ht="16.5" customHeight="1" x14ac:dyDescent="0.2"/>
    <row r="2244" ht="16.5" customHeight="1" x14ac:dyDescent="0.2"/>
    <row r="2245" ht="16.5" customHeight="1" x14ac:dyDescent="0.2"/>
    <row r="2246" ht="16.5" customHeight="1" x14ac:dyDescent="0.2"/>
    <row r="2247" ht="16.5" customHeight="1" x14ac:dyDescent="0.2"/>
    <row r="2248" ht="16.5" customHeight="1" x14ac:dyDescent="0.2"/>
    <row r="2249" ht="16.5" customHeight="1" x14ac:dyDescent="0.2"/>
    <row r="2250" ht="16.5" customHeight="1" x14ac:dyDescent="0.2"/>
    <row r="2251" ht="16.5" customHeight="1" x14ac:dyDescent="0.2"/>
    <row r="2252" ht="16.5" customHeight="1" x14ac:dyDescent="0.2"/>
    <row r="2253" ht="16.5" customHeight="1" x14ac:dyDescent="0.2"/>
    <row r="2254" ht="16.5" customHeight="1" x14ac:dyDescent="0.2"/>
    <row r="2255" ht="16.5" customHeight="1" x14ac:dyDescent="0.2"/>
    <row r="2256" ht="16.5" customHeight="1" x14ac:dyDescent="0.2"/>
    <row r="2257" ht="16.5" customHeight="1" x14ac:dyDescent="0.2"/>
    <row r="2258" ht="16.5" customHeight="1" x14ac:dyDescent="0.2"/>
    <row r="2259" ht="16.5" customHeight="1" x14ac:dyDescent="0.2"/>
    <row r="2260" ht="16.5" customHeight="1" x14ac:dyDescent="0.2"/>
    <row r="2261" ht="16.5" customHeight="1" x14ac:dyDescent="0.2"/>
    <row r="2262" ht="16.5" customHeight="1" x14ac:dyDescent="0.2"/>
    <row r="2263" ht="16.5" customHeight="1" x14ac:dyDescent="0.2"/>
    <row r="2264" ht="16.5" customHeight="1" x14ac:dyDescent="0.2"/>
    <row r="2265" ht="16.5" customHeight="1" x14ac:dyDescent="0.2"/>
    <row r="2266" ht="16.5" customHeight="1" x14ac:dyDescent="0.2"/>
    <row r="2267" ht="16.5" customHeight="1" x14ac:dyDescent="0.2"/>
    <row r="2268" ht="16.5" customHeight="1" x14ac:dyDescent="0.2"/>
    <row r="2269" ht="16.5" customHeight="1" x14ac:dyDescent="0.2"/>
    <row r="2270" ht="16.5" customHeight="1" x14ac:dyDescent="0.2"/>
    <row r="2271" ht="16.5" customHeight="1" x14ac:dyDescent="0.2"/>
    <row r="2272" ht="16.5" customHeight="1" x14ac:dyDescent="0.2"/>
    <row r="2273" ht="16.5" customHeight="1" x14ac:dyDescent="0.2"/>
    <row r="2274" ht="16.5" customHeight="1" x14ac:dyDescent="0.2"/>
    <row r="2275" ht="16.5" customHeight="1" x14ac:dyDescent="0.2"/>
    <row r="2276" ht="16.5" customHeight="1" x14ac:dyDescent="0.2"/>
    <row r="2277" ht="16.5" customHeight="1" x14ac:dyDescent="0.2"/>
    <row r="2278" ht="16.5" customHeight="1" x14ac:dyDescent="0.2"/>
    <row r="2279" ht="16.5" customHeight="1" x14ac:dyDescent="0.2"/>
    <row r="2280" ht="16.5" customHeight="1" x14ac:dyDescent="0.2"/>
    <row r="2281" ht="16.5" customHeight="1" x14ac:dyDescent="0.2"/>
    <row r="2282" ht="16.5" customHeight="1" x14ac:dyDescent="0.2"/>
    <row r="2283" ht="16.5" customHeight="1" x14ac:dyDescent="0.2"/>
    <row r="2284" ht="16.5" customHeight="1" x14ac:dyDescent="0.2"/>
    <row r="2285" ht="16.5" customHeight="1" x14ac:dyDescent="0.2"/>
    <row r="2286" ht="16.5" customHeight="1" x14ac:dyDescent="0.2"/>
    <row r="2287" ht="16.5" customHeight="1" x14ac:dyDescent="0.2"/>
    <row r="2288" ht="16.5" customHeight="1" x14ac:dyDescent="0.2"/>
    <row r="2289" ht="16.5" customHeight="1" x14ac:dyDescent="0.2"/>
    <row r="2290" ht="16.5" customHeight="1" x14ac:dyDescent="0.2"/>
    <row r="2291" ht="16.5" customHeight="1" x14ac:dyDescent="0.2"/>
    <row r="2292" ht="16.5" customHeight="1" x14ac:dyDescent="0.2"/>
    <row r="2293" ht="16.5" customHeight="1" x14ac:dyDescent="0.2"/>
    <row r="2294" ht="16.5" customHeight="1" x14ac:dyDescent="0.2"/>
    <row r="2295" ht="16.5" customHeight="1" x14ac:dyDescent="0.2"/>
    <row r="2296" ht="16.5" customHeight="1" x14ac:dyDescent="0.2"/>
    <row r="2297" ht="16.5" customHeight="1" x14ac:dyDescent="0.2"/>
    <row r="2298" ht="16.5" customHeight="1" x14ac:dyDescent="0.2"/>
    <row r="2299" ht="16.5" customHeight="1" x14ac:dyDescent="0.2"/>
    <row r="2300" ht="16.5" customHeight="1" x14ac:dyDescent="0.2"/>
    <row r="2301" ht="16.5" customHeight="1" x14ac:dyDescent="0.2"/>
    <row r="2302" ht="16.5" customHeight="1" x14ac:dyDescent="0.2"/>
    <row r="2303" ht="16.5" customHeight="1" x14ac:dyDescent="0.2"/>
    <row r="2304" ht="16.5" customHeight="1" x14ac:dyDescent="0.2"/>
    <row r="2305" ht="16.5" customHeight="1" x14ac:dyDescent="0.2"/>
    <row r="2306" ht="16.5" customHeight="1" x14ac:dyDescent="0.2"/>
    <row r="2307" ht="16.5" customHeight="1" x14ac:dyDescent="0.2"/>
    <row r="2308" ht="16.5" customHeight="1" x14ac:dyDescent="0.2"/>
    <row r="2309" ht="16.5" customHeight="1" x14ac:dyDescent="0.2"/>
    <row r="2310" ht="16.5" customHeight="1" x14ac:dyDescent="0.2"/>
    <row r="2311" ht="16.5" customHeight="1" x14ac:dyDescent="0.2"/>
    <row r="2312" ht="16.5" customHeight="1" x14ac:dyDescent="0.2"/>
    <row r="2313" ht="16.5" customHeight="1" x14ac:dyDescent="0.2"/>
    <row r="2314" ht="16.5" customHeight="1" x14ac:dyDescent="0.2"/>
    <row r="2315" ht="16.5" customHeight="1" x14ac:dyDescent="0.2"/>
    <row r="2316" ht="16.5" customHeight="1" x14ac:dyDescent="0.2"/>
    <row r="2317" ht="16.5" customHeight="1" x14ac:dyDescent="0.2"/>
    <row r="2318" ht="16.5" customHeight="1" x14ac:dyDescent="0.2"/>
    <row r="2319" ht="16.5" customHeight="1" x14ac:dyDescent="0.2"/>
    <row r="2320" ht="16.5" customHeight="1" x14ac:dyDescent="0.2"/>
    <row r="2321" ht="16.5" customHeight="1" x14ac:dyDescent="0.2"/>
    <row r="2322" ht="16.5" customHeight="1" x14ac:dyDescent="0.2"/>
    <row r="2323" ht="16.5" customHeight="1" x14ac:dyDescent="0.2"/>
    <row r="2324" ht="16.5" customHeight="1" x14ac:dyDescent="0.2"/>
    <row r="2325" ht="16.5" customHeight="1" x14ac:dyDescent="0.2"/>
    <row r="2326" ht="16.5" customHeight="1" x14ac:dyDescent="0.2"/>
    <row r="2327" ht="16.5" customHeight="1" x14ac:dyDescent="0.2"/>
    <row r="2328" ht="16.5" customHeight="1" x14ac:dyDescent="0.2"/>
    <row r="2329" ht="16.5" customHeight="1" x14ac:dyDescent="0.2"/>
    <row r="2330" ht="16.5" customHeight="1" x14ac:dyDescent="0.2"/>
    <row r="2331" ht="16.5" customHeight="1" x14ac:dyDescent="0.2"/>
    <row r="2332" ht="16.5" customHeight="1" x14ac:dyDescent="0.2"/>
    <row r="2333" ht="16.5" customHeight="1" x14ac:dyDescent="0.2"/>
    <row r="2334" ht="16.5" customHeight="1" x14ac:dyDescent="0.2"/>
    <row r="2335" ht="16.5" customHeight="1" x14ac:dyDescent="0.2"/>
    <row r="2336" ht="16.5" customHeight="1" x14ac:dyDescent="0.2"/>
    <row r="2337" ht="16.5" customHeight="1" x14ac:dyDescent="0.2"/>
    <row r="2338" ht="16.5" customHeight="1" x14ac:dyDescent="0.2"/>
    <row r="2339" ht="16.5" customHeight="1" x14ac:dyDescent="0.2"/>
    <row r="2340" ht="16.5" customHeight="1" x14ac:dyDescent="0.2"/>
    <row r="2341" ht="16.5" customHeight="1" x14ac:dyDescent="0.2"/>
    <row r="2342" ht="16.5" customHeight="1" x14ac:dyDescent="0.2"/>
    <row r="2343" ht="16.5" customHeight="1" x14ac:dyDescent="0.2"/>
    <row r="2344" ht="16.5" customHeight="1" x14ac:dyDescent="0.2"/>
    <row r="2345" ht="16.5" customHeight="1" x14ac:dyDescent="0.2"/>
    <row r="2346" ht="16.5" customHeight="1" x14ac:dyDescent="0.2"/>
    <row r="2347" ht="16.5" customHeight="1" x14ac:dyDescent="0.2"/>
    <row r="2348" ht="16.5" customHeight="1" x14ac:dyDescent="0.2"/>
    <row r="2349" ht="16.5" customHeight="1" x14ac:dyDescent="0.2"/>
    <row r="2350" ht="16.5" customHeight="1" x14ac:dyDescent="0.2"/>
    <row r="2351" ht="16.5" customHeight="1" x14ac:dyDescent="0.2"/>
    <row r="2352" ht="16.5" customHeight="1" x14ac:dyDescent="0.2"/>
    <row r="2353" ht="16.5" customHeight="1" x14ac:dyDescent="0.2"/>
    <row r="2354" ht="16.5" customHeight="1" x14ac:dyDescent="0.2"/>
    <row r="2355" ht="16.5" customHeight="1" x14ac:dyDescent="0.2"/>
    <row r="2356" ht="16.5" customHeight="1" x14ac:dyDescent="0.2"/>
    <row r="2357" ht="16.5" customHeight="1" x14ac:dyDescent="0.2"/>
    <row r="2358" ht="16.5" customHeight="1" x14ac:dyDescent="0.2"/>
    <row r="2359" ht="16.5" customHeight="1" x14ac:dyDescent="0.2"/>
    <row r="2360" ht="16.5" customHeight="1" x14ac:dyDescent="0.2"/>
    <row r="2361" ht="16.5" customHeight="1" x14ac:dyDescent="0.2"/>
    <row r="2362" ht="16.5" customHeight="1" x14ac:dyDescent="0.2"/>
    <row r="2363" ht="16.5" customHeight="1" x14ac:dyDescent="0.2"/>
    <row r="2364" ht="16.5" customHeight="1" x14ac:dyDescent="0.2"/>
    <row r="2365" ht="16.5" customHeight="1" x14ac:dyDescent="0.2"/>
    <row r="2366" ht="16.5" customHeight="1" x14ac:dyDescent="0.2"/>
    <row r="2367" ht="16.5" customHeight="1" x14ac:dyDescent="0.2"/>
    <row r="2368" ht="16.5" customHeight="1" x14ac:dyDescent="0.2"/>
    <row r="2369" ht="16.5" customHeight="1" x14ac:dyDescent="0.2"/>
    <row r="2370" ht="16.5" customHeight="1" x14ac:dyDescent="0.2"/>
    <row r="2371" ht="16.5" customHeight="1" x14ac:dyDescent="0.2"/>
    <row r="2372" ht="16.5" customHeight="1" x14ac:dyDescent="0.2"/>
    <row r="2373" ht="16.5" customHeight="1" x14ac:dyDescent="0.2"/>
    <row r="2374" ht="16.5" customHeight="1" x14ac:dyDescent="0.2"/>
    <row r="2375" ht="16.5" customHeight="1" x14ac:dyDescent="0.2"/>
    <row r="2376" ht="16.5" customHeight="1" x14ac:dyDescent="0.2"/>
    <row r="2377" ht="16.5" customHeight="1" x14ac:dyDescent="0.2"/>
    <row r="2378" ht="16.5" customHeight="1" x14ac:dyDescent="0.2"/>
    <row r="2379" ht="16.5" customHeight="1" x14ac:dyDescent="0.2"/>
    <row r="2380" ht="16.5" customHeight="1" x14ac:dyDescent="0.2"/>
    <row r="2381" ht="16.5" customHeight="1" x14ac:dyDescent="0.2"/>
    <row r="2382" ht="16.5" customHeight="1" x14ac:dyDescent="0.2"/>
    <row r="2383" ht="16.5" customHeight="1" x14ac:dyDescent="0.2"/>
    <row r="2384" ht="16.5" customHeight="1" x14ac:dyDescent="0.2"/>
    <row r="2385" ht="16.5" customHeight="1" x14ac:dyDescent="0.2"/>
    <row r="2386" ht="16.5" customHeight="1" x14ac:dyDescent="0.2"/>
    <row r="2387" ht="16.5" customHeight="1" x14ac:dyDescent="0.2"/>
    <row r="2388" ht="16.5" customHeight="1" x14ac:dyDescent="0.2"/>
    <row r="2389" ht="16.5" customHeight="1" x14ac:dyDescent="0.2"/>
    <row r="2390" ht="16.5" customHeight="1" x14ac:dyDescent="0.2"/>
    <row r="2391" ht="16.5" customHeight="1" x14ac:dyDescent="0.2"/>
    <row r="2392" ht="16.5" customHeight="1" x14ac:dyDescent="0.2"/>
    <row r="2393" ht="16.5" customHeight="1" x14ac:dyDescent="0.2"/>
    <row r="2394" ht="16.5" customHeight="1" x14ac:dyDescent="0.2"/>
    <row r="2395" ht="16.5" customHeight="1" x14ac:dyDescent="0.2"/>
    <row r="2396" ht="16.5" customHeight="1" x14ac:dyDescent="0.2"/>
    <row r="2397" ht="16.5" customHeight="1" x14ac:dyDescent="0.2"/>
    <row r="2398" ht="16.5" customHeight="1" x14ac:dyDescent="0.2"/>
    <row r="2399" ht="16.5" customHeight="1" x14ac:dyDescent="0.2"/>
    <row r="2400" ht="16.5" customHeight="1" x14ac:dyDescent="0.2"/>
    <row r="2401" ht="16.5" customHeight="1" x14ac:dyDescent="0.2"/>
    <row r="2402" ht="16.5" customHeight="1" x14ac:dyDescent="0.2"/>
    <row r="2403" ht="16.5" customHeight="1" x14ac:dyDescent="0.2"/>
    <row r="2404" ht="16.5" customHeight="1" x14ac:dyDescent="0.2"/>
    <row r="2405" ht="16.5" customHeight="1" x14ac:dyDescent="0.2"/>
    <row r="2406" ht="16.5" customHeight="1" x14ac:dyDescent="0.2"/>
    <row r="2407" ht="16.5" customHeight="1" x14ac:dyDescent="0.2"/>
    <row r="2408" ht="16.5" customHeight="1" x14ac:dyDescent="0.2"/>
    <row r="2409" ht="16.5" customHeight="1" x14ac:dyDescent="0.2"/>
    <row r="2410" ht="16.5" customHeight="1" x14ac:dyDescent="0.2"/>
    <row r="2411" ht="16.5" customHeight="1" x14ac:dyDescent="0.2"/>
    <row r="2412" ht="16.5" customHeight="1" x14ac:dyDescent="0.2"/>
    <row r="2413" ht="16.5" customHeight="1" x14ac:dyDescent="0.2"/>
    <row r="2414" ht="16.5" customHeight="1" x14ac:dyDescent="0.2"/>
    <row r="2415" ht="16.5" customHeight="1" x14ac:dyDescent="0.2"/>
    <row r="2416" ht="16.5" customHeight="1" x14ac:dyDescent="0.2"/>
    <row r="2417" ht="16.5" customHeight="1" x14ac:dyDescent="0.2"/>
    <row r="2418" ht="16.5" customHeight="1" x14ac:dyDescent="0.2"/>
    <row r="2419" ht="16.5" customHeight="1" x14ac:dyDescent="0.2"/>
    <row r="2420" ht="16.5" customHeight="1" x14ac:dyDescent="0.2"/>
    <row r="2421" ht="16.5" customHeight="1" x14ac:dyDescent="0.2"/>
    <row r="2422" ht="16.5" customHeight="1" x14ac:dyDescent="0.2"/>
    <row r="2423" ht="16.5" customHeight="1" x14ac:dyDescent="0.2"/>
    <row r="2424" ht="16.5" customHeight="1" x14ac:dyDescent="0.2"/>
    <row r="2425" ht="16.5" customHeight="1" x14ac:dyDescent="0.2"/>
    <row r="2426" ht="16.5" customHeight="1" x14ac:dyDescent="0.2"/>
    <row r="2427" ht="16.5" customHeight="1" x14ac:dyDescent="0.2"/>
    <row r="2428" ht="16.5" customHeight="1" x14ac:dyDescent="0.2"/>
    <row r="2429" ht="16.5" customHeight="1" x14ac:dyDescent="0.2"/>
    <row r="2430" ht="16.5" customHeight="1" x14ac:dyDescent="0.2"/>
    <row r="2431" ht="16.5" customHeight="1" x14ac:dyDescent="0.2"/>
    <row r="2432" ht="16.5" customHeight="1" x14ac:dyDescent="0.2"/>
    <row r="2433" ht="16.5" customHeight="1" x14ac:dyDescent="0.2"/>
    <row r="2434" ht="16.5" customHeight="1" x14ac:dyDescent="0.2"/>
    <row r="2435" ht="16.5" customHeight="1" x14ac:dyDescent="0.2"/>
    <row r="2436" ht="16.5" customHeight="1" x14ac:dyDescent="0.2"/>
    <row r="2437" ht="16.5" customHeight="1" x14ac:dyDescent="0.2"/>
    <row r="2438" ht="16.5" customHeight="1" x14ac:dyDescent="0.2"/>
    <row r="2439" ht="16.5" customHeight="1" x14ac:dyDescent="0.2"/>
    <row r="2440" ht="16.5" customHeight="1" x14ac:dyDescent="0.2"/>
    <row r="2441" ht="16.5" customHeight="1" x14ac:dyDescent="0.2"/>
    <row r="2442" ht="16.5" customHeight="1" x14ac:dyDescent="0.2"/>
    <row r="2443" ht="16.5" customHeight="1" x14ac:dyDescent="0.2"/>
    <row r="2444" ht="16.5" customHeight="1" x14ac:dyDescent="0.2"/>
    <row r="2445" ht="16.5" customHeight="1" x14ac:dyDescent="0.2"/>
    <row r="2446" ht="16.5" customHeight="1" x14ac:dyDescent="0.2"/>
    <row r="2447" ht="16.5" customHeight="1" x14ac:dyDescent="0.2"/>
    <row r="2448" ht="16.5" customHeight="1" x14ac:dyDescent="0.2"/>
    <row r="2449" ht="16.5" customHeight="1" x14ac:dyDescent="0.2"/>
    <row r="2450" ht="16.5" customHeight="1" x14ac:dyDescent="0.2"/>
    <row r="2451" ht="16.5" customHeight="1" x14ac:dyDescent="0.2"/>
    <row r="2452" ht="16.5" customHeight="1" x14ac:dyDescent="0.2"/>
    <row r="2453" ht="16.5" customHeight="1" x14ac:dyDescent="0.2"/>
    <row r="2454" ht="16.5" customHeight="1" x14ac:dyDescent="0.2"/>
    <row r="2455" ht="16.5" customHeight="1" x14ac:dyDescent="0.2"/>
    <row r="2456" ht="16.5" customHeight="1" x14ac:dyDescent="0.2"/>
    <row r="2457" ht="16.5" customHeight="1" x14ac:dyDescent="0.2"/>
    <row r="2458" ht="16.5" customHeight="1" x14ac:dyDescent="0.2"/>
    <row r="2459" ht="16.5" customHeight="1" x14ac:dyDescent="0.2"/>
    <row r="2460" ht="16.5" customHeight="1" x14ac:dyDescent="0.2"/>
    <row r="2461" ht="16.5" customHeight="1" x14ac:dyDescent="0.2"/>
    <row r="2462" ht="16.5" customHeight="1" x14ac:dyDescent="0.2"/>
    <row r="2463" ht="16.5" customHeight="1" x14ac:dyDescent="0.2"/>
    <row r="2464" ht="16.5" customHeight="1" x14ac:dyDescent="0.2"/>
    <row r="2465" ht="16.5" customHeight="1" x14ac:dyDescent="0.2"/>
    <row r="2466" ht="16.5" customHeight="1" x14ac:dyDescent="0.2"/>
    <row r="2467" ht="16.5" customHeight="1" x14ac:dyDescent="0.2"/>
    <row r="2468" ht="16.5" customHeight="1" x14ac:dyDescent="0.2"/>
    <row r="2469" ht="16.5" customHeight="1" x14ac:dyDescent="0.2"/>
    <row r="2470" ht="16.5" customHeight="1" x14ac:dyDescent="0.2"/>
    <row r="2471" ht="16.5" customHeight="1" x14ac:dyDescent="0.2"/>
    <row r="2472" ht="16.5" customHeight="1" x14ac:dyDescent="0.2"/>
    <row r="2473" ht="16.5" customHeight="1" x14ac:dyDescent="0.2"/>
    <row r="2474" ht="16.5" customHeight="1" x14ac:dyDescent="0.2"/>
    <row r="2475" ht="16.5" customHeight="1" x14ac:dyDescent="0.2"/>
    <row r="2476" ht="16.5" customHeight="1" x14ac:dyDescent="0.2"/>
    <row r="2477" ht="16.5" customHeight="1" x14ac:dyDescent="0.2"/>
    <row r="2478" ht="16.5" customHeight="1" x14ac:dyDescent="0.2"/>
    <row r="2479" ht="16.5" customHeight="1" x14ac:dyDescent="0.2"/>
    <row r="2480" ht="16.5" customHeight="1" x14ac:dyDescent="0.2"/>
    <row r="2481" ht="16.5" customHeight="1" x14ac:dyDescent="0.2"/>
    <row r="2482" ht="16.5" customHeight="1" x14ac:dyDescent="0.2"/>
    <row r="2483" ht="16.5" customHeight="1" x14ac:dyDescent="0.2"/>
    <row r="2484" ht="16.5" customHeight="1" x14ac:dyDescent="0.2"/>
    <row r="2485" ht="16.5" customHeight="1" x14ac:dyDescent="0.2"/>
    <row r="2486" ht="16.5" customHeight="1" x14ac:dyDescent="0.2"/>
    <row r="2487" ht="16.5" customHeight="1" x14ac:dyDescent="0.2"/>
    <row r="2488" ht="16.5" customHeight="1" x14ac:dyDescent="0.2"/>
    <row r="2489" ht="16.5" customHeight="1" x14ac:dyDescent="0.2"/>
    <row r="2490" ht="16.5" customHeight="1" x14ac:dyDescent="0.2"/>
    <row r="2491" ht="16.5" customHeight="1" x14ac:dyDescent="0.2"/>
    <row r="2492" ht="16.5" customHeight="1" x14ac:dyDescent="0.2"/>
    <row r="2493" ht="16.5" customHeight="1" x14ac:dyDescent="0.2"/>
    <row r="2494" ht="16.5" customHeight="1" x14ac:dyDescent="0.2"/>
    <row r="2495" ht="16.5" customHeight="1" x14ac:dyDescent="0.2"/>
    <row r="2496" ht="16.5" customHeight="1" x14ac:dyDescent="0.2"/>
    <row r="2497" ht="16.5" customHeight="1" x14ac:dyDescent="0.2"/>
    <row r="2498" ht="16.5" customHeight="1" x14ac:dyDescent="0.2"/>
    <row r="2499" ht="16.5" customHeight="1" x14ac:dyDescent="0.2"/>
    <row r="2500" ht="16.5" customHeight="1" x14ac:dyDescent="0.2"/>
    <row r="2501" ht="16.5" customHeight="1" x14ac:dyDescent="0.2"/>
    <row r="2502" ht="16.5" customHeight="1" x14ac:dyDescent="0.2"/>
    <row r="2503" ht="16.5" customHeight="1" x14ac:dyDescent="0.2"/>
    <row r="2504" ht="16.5" customHeight="1" x14ac:dyDescent="0.2"/>
    <row r="2505" ht="16.5" customHeight="1" x14ac:dyDescent="0.2"/>
    <row r="2506" ht="16.5" customHeight="1" x14ac:dyDescent="0.2"/>
    <row r="2507" ht="16.5" customHeight="1" x14ac:dyDescent="0.2"/>
    <row r="2508" ht="16.5" customHeight="1" x14ac:dyDescent="0.2"/>
    <row r="2509" ht="16.5" customHeight="1" x14ac:dyDescent="0.2"/>
    <row r="2510" ht="16.5" customHeight="1" x14ac:dyDescent="0.2"/>
    <row r="2511" ht="16.5" customHeight="1" x14ac:dyDescent="0.2"/>
    <row r="2512" ht="16.5" customHeight="1" x14ac:dyDescent="0.2"/>
    <row r="2513" ht="16.5" customHeight="1" x14ac:dyDescent="0.2"/>
    <row r="2514" ht="16.5" customHeight="1" x14ac:dyDescent="0.2"/>
    <row r="2515" ht="16.5" customHeight="1" x14ac:dyDescent="0.2"/>
    <row r="2516" ht="16.5" customHeight="1" x14ac:dyDescent="0.2"/>
    <row r="2517" ht="16.5" customHeight="1" x14ac:dyDescent="0.2"/>
    <row r="2518" ht="16.5" customHeight="1" x14ac:dyDescent="0.2"/>
    <row r="2519" ht="16.5" customHeight="1" x14ac:dyDescent="0.2"/>
    <row r="2520" ht="16.5" customHeight="1" x14ac:dyDescent="0.2"/>
    <row r="2521" ht="16.5" customHeight="1" x14ac:dyDescent="0.2"/>
    <row r="2522" ht="16.5" customHeight="1" x14ac:dyDescent="0.2"/>
    <row r="2523" ht="16.5" customHeight="1" x14ac:dyDescent="0.2"/>
    <row r="2524" ht="16.5" customHeight="1" x14ac:dyDescent="0.2"/>
    <row r="2525" ht="16.5" customHeight="1" x14ac:dyDescent="0.2"/>
    <row r="2526" ht="16.5" customHeight="1" x14ac:dyDescent="0.2"/>
    <row r="2527" ht="16.5" customHeight="1" x14ac:dyDescent="0.2"/>
    <row r="2528" ht="16.5" customHeight="1" x14ac:dyDescent="0.2"/>
    <row r="2529" ht="16.5" customHeight="1" x14ac:dyDescent="0.2"/>
    <row r="2530" ht="16.5" customHeight="1" x14ac:dyDescent="0.2"/>
    <row r="2531" ht="16.5" customHeight="1" x14ac:dyDescent="0.2"/>
    <row r="2532" ht="16.5" customHeight="1" x14ac:dyDescent="0.2"/>
    <row r="2533" ht="16.5" customHeight="1" x14ac:dyDescent="0.2"/>
    <row r="2534" ht="16.5" customHeight="1" x14ac:dyDescent="0.2"/>
    <row r="2535" ht="16.5" customHeight="1" x14ac:dyDescent="0.2"/>
    <row r="2536" ht="16.5" customHeight="1" x14ac:dyDescent="0.2"/>
    <row r="2537" ht="16.5" customHeight="1" x14ac:dyDescent="0.2"/>
    <row r="2538" ht="16.5" customHeight="1" x14ac:dyDescent="0.2"/>
    <row r="2539" ht="16.5" customHeight="1" x14ac:dyDescent="0.2"/>
    <row r="2540" ht="16.5" customHeight="1" x14ac:dyDescent="0.2"/>
    <row r="2541" ht="16.5" customHeight="1" x14ac:dyDescent="0.2"/>
    <row r="2542" ht="16.5" customHeight="1" x14ac:dyDescent="0.2"/>
    <row r="2543" ht="16.5" customHeight="1" x14ac:dyDescent="0.2"/>
    <row r="2544" ht="16.5" customHeight="1" x14ac:dyDescent="0.2"/>
    <row r="2545" ht="16.5" customHeight="1" x14ac:dyDescent="0.2"/>
    <row r="2546" ht="16.5" customHeight="1" x14ac:dyDescent="0.2"/>
    <row r="2547" ht="16.5" customHeight="1" x14ac:dyDescent="0.2"/>
    <row r="2548" ht="16.5" customHeight="1" x14ac:dyDescent="0.2"/>
    <row r="2549" ht="16.5" customHeight="1" x14ac:dyDescent="0.2"/>
    <row r="2550" ht="16.5" customHeight="1" x14ac:dyDescent="0.2"/>
    <row r="2551" ht="16.5" customHeight="1" x14ac:dyDescent="0.2"/>
    <row r="2552" ht="16.5" customHeight="1" x14ac:dyDescent="0.2"/>
    <row r="2553" ht="16.5" customHeight="1" x14ac:dyDescent="0.2"/>
    <row r="2554" ht="16.5" customHeight="1" x14ac:dyDescent="0.2"/>
    <row r="2555" ht="16.5" customHeight="1" x14ac:dyDescent="0.2"/>
    <row r="2556" ht="16.5" customHeight="1" x14ac:dyDescent="0.2"/>
    <row r="2557" ht="16.5" customHeight="1" x14ac:dyDescent="0.2"/>
    <row r="2558" ht="16.5" customHeight="1" x14ac:dyDescent="0.2"/>
    <row r="2559" ht="16.5" customHeight="1" x14ac:dyDescent="0.2"/>
    <row r="2560" ht="16.5" customHeight="1" x14ac:dyDescent="0.2"/>
    <row r="2561" ht="16.5" customHeight="1" x14ac:dyDescent="0.2"/>
    <row r="2562" ht="16.5" customHeight="1" x14ac:dyDescent="0.2"/>
    <row r="2563" ht="16.5" customHeight="1" x14ac:dyDescent="0.2"/>
    <row r="2564" ht="16.5" customHeight="1" x14ac:dyDescent="0.2"/>
    <row r="2565" ht="16.5" customHeight="1" x14ac:dyDescent="0.2"/>
    <row r="2566" ht="16.5" customHeight="1" x14ac:dyDescent="0.2"/>
    <row r="2567" ht="16.5" customHeight="1" x14ac:dyDescent="0.2"/>
    <row r="2568" ht="16.5" customHeight="1" x14ac:dyDescent="0.2"/>
    <row r="2569" ht="16.5" customHeight="1" x14ac:dyDescent="0.2"/>
    <row r="2570" ht="16.5" customHeight="1" x14ac:dyDescent="0.2"/>
    <row r="2571" ht="16.5" customHeight="1" x14ac:dyDescent="0.2"/>
    <row r="2572" ht="16.5" customHeight="1" x14ac:dyDescent="0.2"/>
    <row r="2573" ht="16.5" customHeight="1" x14ac:dyDescent="0.2"/>
    <row r="2574" ht="16.5" customHeight="1" x14ac:dyDescent="0.2"/>
    <row r="2575" ht="16.5" customHeight="1" x14ac:dyDescent="0.2"/>
    <row r="2576" ht="16.5" customHeight="1" x14ac:dyDescent="0.2"/>
    <row r="2577" ht="16.5" customHeight="1" x14ac:dyDescent="0.2"/>
    <row r="2578" ht="16.5" customHeight="1" x14ac:dyDescent="0.2"/>
    <row r="2579" ht="16.5" customHeight="1" x14ac:dyDescent="0.2"/>
    <row r="2580" ht="16.5" customHeight="1" x14ac:dyDescent="0.2"/>
    <row r="2581" ht="16.5" customHeight="1" x14ac:dyDescent="0.2"/>
    <row r="2582" ht="16.5" customHeight="1" x14ac:dyDescent="0.2"/>
    <row r="2583" ht="16.5" customHeight="1" x14ac:dyDescent="0.2"/>
    <row r="2584" ht="16.5" customHeight="1" x14ac:dyDescent="0.2"/>
    <row r="2585" ht="16.5" customHeight="1" x14ac:dyDescent="0.2"/>
    <row r="2586" ht="16.5" customHeight="1" x14ac:dyDescent="0.2"/>
    <row r="2587" ht="16.5" customHeight="1" x14ac:dyDescent="0.2"/>
    <row r="2588" ht="16.5" customHeight="1" x14ac:dyDescent="0.2"/>
    <row r="2589" ht="16.5" customHeight="1" x14ac:dyDescent="0.2"/>
    <row r="2590" ht="16.5" customHeight="1" x14ac:dyDescent="0.2"/>
    <row r="2591" ht="16.5" customHeight="1" x14ac:dyDescent="0.2"/>
    <row r="2592" ht="16.5" customHeight="1" x14ac:dyDescent="0.2"/>
    <row r="2593" ht="16.5" customHeight="1" x14ac:dyDescent="0.2"/>
    <row r="2594" ht="16.5" customHeight="1" x14ac:dyDescent="0.2"/>
    <row r="2595" ht="16.5" customHeight="1" x14ac:dyDescent="0.2"/>
    <row r="2596" ht="16.5" customHeight="1" x14ac:dyDescent="0.2"/>
    <row r="2597" ht="16.5" customHeight="1" x14ac:dyDescent="0.2"/>
    <row r="2598" ht="16.5" customHeight="1" x14ac:dyDescent="0.2"/>
    <row r="2599" ht="16.5" customHeight="1" x14ac:dyDescent="0.2"/>
    <row r="2600" ht="16.5" customHeight="1" x14ac:dyDescent="0.2"/>
    <row r="2601" ht="16.5" customHeight="1" x14ac:dyDescent="0.2"/>
    <row r="2602" ht="16.5" customHeight="1" x14ac:dyDescent="0.2"/>
    <row r="2603" ht="16.5" customHeight="1" x14ac:dyDescent="0.2"/>
    <row r="2604" ht="16.5" customHeight="1" x14ac:dyDescent="0.2"/>
    <row r="2605" ht="16.5" customHeight="1" x14ac:dyDescent="0.2"/>
    <row r="2606" ht="16.5" customHeight="1" x14ac:dyDescent="0.2"/>
    <row r="2607" ht="16.5" customHeight="1" x14ac:dyDescent="0.2"/>
    <row r="2608" ht="16.5" customHeight="1" x14ac:dyDescent="0.2"/>
    <row r="2609" ht="16.5" customHeight="1" x14ac:dyDescent="0.2"/>
    <row r="2610" ht="16.5" customHeight="1" x14ac:dyDescent="0.2"/>
    <row r="2611" ht="16.5" customHeight="1" x14ac:dyDescent="0.2"/>
    <row r="2612" ht="16.5" customHeight="1" x14ac:dyDescent="0.2"/>
    <row r="2613" ht="16.5" customHeight="1" x14ac:dyDescent="0.2"/>
    <row r="2614" ht="16.5" customHeight="1" x14ac:dyDescent="0.2"/>
    <row r="2615" ht="16.5" customHeight="1" x14ac:dyDescent="0.2"/>
    <row r="2616" ht="16.5" customHeight="1" x14ac:dyDescent="0.2"/>
    <row r="2617" ht="16.5" customHeight="1" x14ac:dyDescent="0.2"/>
    <row r="2618" ht="16.5" customHeight="1" x14ac:dyDescent="0.2"/>
    <row r="2619" ht="16.5" customHeight="1" x14ac:dyDescent="0.2"/>
    <row r="2620" ht="16.5" customHeight="1" x14ac:dyDescent="0.2"/>
    <row r="2621" ht="16.5" customHeight="1" x14ac:dyDescent="0.2"/>
    <row r="2622" ht="16.5" customHeight="1" x14ac:dyDescent="0.2"/>
    <row r="2623" ht="16.5" customHeight="1" x14ac:dyDescent="0.2"/>
    <row r="2624" ht="16.5" customHeight="1" x14ac:dyDescent="0.2"/>
    <row r="2625" ht="16.5" customHeight="1" x14ac:dyDescent="0.2"/>
    <row r="2626" ht="16.5" customHeight="1" x14ac:dyDescent="0.2"/>
    <row r="2627" ht="16.5" customHeight="1" x14ac:dyDescent="0.2"/>
    <row r="2628" ht="16.5" customHeight="1" x14ac:dyDescent="0.2"/>
    <row r="2629" ht="16.5" customHeight="1" x14ac:dyDescent="0.2"/>
    <row r="2630" ht="16.5" customHeight="1" x14ac:dyDescent="0.2"/>
    <row r="2631" ht="16.5" customHeight="1" x14ac:dyDescent="0.2"/>
    <row r="2632" ht="16.5" customHeight="1" x14ac:dyDescent="0.2"/>
    <row r="2633" ht="16.5" customHeight="1" x14ac:dyDescent="0.2"/>
    <row r="2634" ht="16.5" customHeight="1" x14ac:dyDescent="0.2"/>
    <row r="2635" ht="16.5" customHeight="1" x14ac:dyDescent="0.2"/>
    <row r="2636" ht="16.5" customHeight="1" x14ac:dyDescent="0.2"/>
    <row r="2637" ht="16.5" customHeight="1" x14ac:dyDescent="0.2"/>
    <row r="2638" ht="16.5" customHeight="1" x14ac:dyDescent="0.2"/>
    <row r="2639" ht="16.5" customHeight="1" x14ac:dyDescent="0.2"/>
    <row r="2640" ht="16.5" customHeight="1" x14ac:dyDescent="0.2"/>
    <row r="2641" ht="16.5" customHeight="1" x14ac:dyDescent="0.2"/>
    <row r="2642" ht="16.5" customHeight="1" x14ac:dyDescent="0.2"/>
    <row r="2643" ht="16.5" customHeight="1" x14ac:dyDescent="0.2"/>
    <row r="2644" ht="16.5" customHeight="1" x14ac:dyDescent="0.2"/>
    <row r="2645" ht="16.5" customHeight="1" x14ac:dyDescent="0.2"/>
    <row r="2646" ht="16.5" customHeight="1" x14ac:dyDescent="0.2"/>
    <row r="2647" ht="16.5" customHeight="1" x14ac:dyDescent="0.2"/>
    <row r="2648" ht="16.5" customHeight="1" x14ac:dyDescent="0.2"/>
    <row r="2649" ht="16.5" customHeight="1" x14ac:dyDescent="0.2"/>
    <row r="2650" ht="16.5" customHeight="1" x14ac:dyDescent="0.2"/>
    <row r="2651" ht="16.5" customHeight="1" x14ac:dyDescent="0.2"/>
    <row r="2652" ht="16.5" customHeight="1" x14ac:dyDescent="0.2"/>
    <row r="2653" ht="16.5" customHeight="1" x14ac:dyDescent="0.2"/>
    <row r="2654" ht="16.5" customHeight="1" x14ac:dyDescent="0.2"/>
    <row r="2655" ht="16.5" customHeight="1" x14ac:dyDescent="0.2"/>
    <row r="2656" ht="16.5" customHeight="1" x14ac:dyDescent="0.2"/>
    <row r="2657" ht="16.5" customHeight="1" x14ac:dyDescent="0.2"/>
    <row r="2658" ht="16.5" customHeight="1" x14ac:dyDescent="0.2"/>
    <row r="2659" ht="16.5" customHeight="1" x14ac:dyDescent="0.2"/>
    <row r="2660" ht="16.5" customHeight="1" x14ac:dyDescent="0.2"/>
    <row r="2661" ht="16.5" customHeight="1" x14ac:dyDescent="0.2"/>
    <row r="2662" ht="16.5" customHeight="1" x14ac:dyDescent="0.2"/>
    <row r="2663" ht="16.5" customHeight="1" x14ac:dyDescent="0.2"/>
    <row r="2664" ht="16.5" customHeight="1" x14ac:dyDescent="0.2"/>
    <row r="2665" ht="16.5" customHeight="1" x14ac:dyDescent="0.2"/>
    <row r="2666" ht="16.5" customHeight="1" x14ac:dyDescent="0.2"/>
    <row r="2667" ht="16.5" customHeight="1" x14ac:dyDescent="0.2"/>
    <row r="2668" ht="16.5" customHeight="1" x14ac:dyDescent="0.2"/>
    <row r="2669" ht="16.5" customHeight="1" x14ac:dyDescent="0.2"/>
    <row r="2670" ht="16.5" customHeight="1" x14ac:dyDescent="0.2"/>
    <row r="2671" ht="16.5" customHeight="1" x14ac:dyDescent="0.2"/>
    <row r="2672" ht="16.5" customHeight="1" x14ac:dyDescent="0.2"/>
    <row r="2673" ht="16.5" customHeight="1" x14ac:dyDescent="0.2"/>
    <row r="2674" ht="16.5" customHeight="1" x14ac:dyDescent="0.2"/>
    <row r="2675" ht="16.5" customHeight="1" x14ac:dyDescent="0.2"/>
    <row r="2676" ht="16.5" customHeight="1" x14ac:dyDescent="0.2"/>
    <row r="2677" ht="16.5" customHeight="1" x14ac:dyDescent="0.2"/>
    <row r="2678" ht="16.5" customHeight="1" x14ac:dyDescent="0.2"/>
    <row r="2679" ht="16.5" customHeight="1" x14ac:dyDescent="0.2"/>
    <row r="2680" ht="16.5" customHeight="1" x14ac:dyDescent="0.2"/>
    <row r="2681" ht="16.5" customHeight="1" x14ac:dyDescent="0.2"/>
    <row r="2682" ht="16.5" customHeight="1" x14ac:dyDescent="0.2"/>
    <row r="2683" ht="16.5" customHeight="1" x14ac:dyDescent="0.2"/>
    <row r="2684" ht="16.5" customHeight="1" x14ac:dyDescent="0.2"/>
    <row r="2685" ht="16.5" customHeight="1" x14ac:dyDescent="0.2"/>
    <row r="2686" ht="16.5" customHeight="1" x14ac:dyDescent="0.2"/>
    <row r="2687" ht="16.5" customHeight="1" x14ac:dyDescent="0.2"/>
    <row r="2688" ht="16.5" customHeight="1" x14ac:dyDescent="0.2"/>
    <row r="2689" ht="16.5" customHeight="1" x14ac:dyDescent="0.2"/>
    <row r="2690" ht="16.5" customHeight="1" x14ac:dyDescent="0.2"/>
    <row r="2691" ht="16.5" customHeight="1" x14ac:dyDescent="0.2"/>
    <row r="2692" ht="16.5" customHeight="1" x14ac:dyDescent="0.2"/>
    <row r="2693" ht="16.5" customHeight="1" x14ac:dyDescent="0.2"/>
    <row r="2694" ht="16.5" customHeight="1" x14ac:dyDescent="0.2"/>
    <row r="2695" ht="16.5" customHeight="1" x14ac:dyDescent="0.2"/>
    <row r="2696" ht="16.5" customHeight="1" x14ac:dyDescent="0.2"/>
    <row r="2697" ht="16.5" customHeight="1" x14ac:dyDescent="0.2"/>
    <row r="2698" ht="16.5" customHeight="1" x14ac:dyDescent="0.2"/>
    <row r="2699" ht="16.5" customHeight="1" x14ac:dyDescent="0.2"/>
    <row r="2700" ht="16.5" customHeight="1" x14ac:dyDescent="0.2"/>
    <row r="2701" ht="16.5" customHeight="1" x14ac:dyDescent="0.2"/>
    <row r="2702" ht="16.5" customHeight="1" x14ac:dyDescent="0.2"/>
    <row r="2703" ht="16.5" customHeight="1" x14ac:dyDescent="0.2"/>
    <row r="2704" ht="16.5" customHeight="1" x14ac:dyDescent="0.2"/>
    <row r="2705" ht="16.5" customHeight="1" x14ac:dyDescent="0.2"/>
    <row r="2706" ht="16.5" customHeight="1" x14ac:dyDescent="0.2"/>
    <row r="2707" ht="16.5" customHeight="1" x14ac:dyDescent="0.2"/>
    <row r="2708" ht="16.5" customHeight="1" x14ac:dyDescent="0.2"/>
    <row r="2709" ht="16.5" customHeight="1" x14ac:dyDescent="0.2"/>
    <row r="2710" ht="16.5" customHeight="1" x14ac:dyDescent="0.2"/>
    <row r="2711" ht="16.5" customHeight="1" x14ac:dyDescent="0.2"/>
    <row r="2712" ht="16.5" customHeight="1" x14ac:dyDescent="0.2"/>
    <row r="2713" ht="16.5" customHeight="1" x14ac:dyDescent="0.2"/>
    <row r="2714" ht="16.5" customHeight="1" x14ac:dyDescent="0.2"/>
    <row r="2715" ht="16.5" customHeight="1" x14ac:dyDescent="0.2"/>
    <row r="2716" ht="16.5" customHeight="1" x14ac:dyDescent="0.2"/>
    <row r="2717" ht="16.5" customHeight="1" x14ac:dyDescent="0.2"/>
    <row r="2718" ht="16.5" customHeight="1" x14ac:dyDescent="0.2"/>
    <row r="2719" ht="16.5" customHeight="1" x14ac:dyDescent="0.2"/>
    <row r="2720" ht="16.5" customHeight="1" x14ac:dyDescent="0.2"/>
    <row r="2721" ht="16.5" customHeight="1" x14ac:dyDescent="0.2"/>
    <row r="2722" ht="16.5" customHeight="1" x14ac:dyDescent="0.2"/>
    <row r="2723" ht="16.5" customHeight="1" x14ac:dyDescent="0.2"/>
    <row r="2724" ht="16.5" customHeight="1" x14ac:dyDescent="0.2"/>
    <row r="2725" ht="16.5" customHeight="1" x14ac:dyDescent="0.2"/>
    <row r="2726" ht="16.5" customHeight="1" x14ac:dyDescent="0.2"/>
    <row r="2727" ht="16.5" customHeight="1" x14ac:dyDescent="0.2"/>
    <row r="2728" ht="16.5" customHeight="1" x14ac:dyDescent="0.2"/>
    <row r="2729" ht="16.5" customHeight="1" x14ac:dyDescent="0.2"/>
    <row r="2730" ht="16.5" customHeight="1" x14ac:dyDescent="0.2"/>
    <row r="2731" ht="16.5" customHeight="1" x14ac:dyDescent="0.2"/>
    <row r="2732" ht="16.5" customHeight="1" x14ac:dyDescent="0.2"/>
    <row r="2733" ht="16.5" customHeight="1" x14ac:dyDescent="0.2"/>
    <row r="2734" ht="16.5" customHeight="1" x14ac:dyDescent="0.2"/>
    <row r="2735" ht="16.5" customHeight="1" x14ac:dyDescent="0.2"/>
    <row r="2736" ht="16.5" customHeight="1" x14ac:dyDescent="0.2"/>
    <row r="2737" ht="16.5" customHeight="1" x14ac:dyDescent="0.2"/>
    <row r="2738" ht="16.5" customHeight="1" x14ac:dyDescent="0.2"/>
    <row r="2739" ht="16.5" customHeight="1" x14ac:dyDescent="0.2"/>
    <row r="2740" ht="16.5" customHeight="1" x14ac:dyDescent="0.2"/>
    <row r="2741" ht="16.5" customHeight="1" x14ac:dyDescent="0.2"/>
    <row r="2742" ht="16.5" customHeight="1" x14ac:dyDescent="0.2"/>
    <row r="2743" ht="16.5" customHeight="1" x14ac:dyDescent="0.2"/>
    <row r="2744" ht="16.5" customHeight="1" x14ac:dyDescent="0.2"/>
    <row r="2745" ht="16.5" customHeight="1" x14ac:dyDescent="0.2"/>
    <row r="2746" ht="16.5" customHeight="1" x14ac:dyDescent="0.2"/>
    <row r="2747" ht="16.5" customHeight="1" x14ac:dyDescent="0.2"/>
    <row r="2748" ht="16.5" customHeight="1" x14ac:dyDescent="0.2"/>
    <row r="2749" ht="16.5" customHeight="1" x14ac:dyDescent="0.2"/>
    <row r="2750" ht="16.5" customHeight="1" x14ac:dyDescent="0.2"/>
    <row r="2751" ht="16.5" customHeight="1" x14ac:dyDescent="0.2"/>
    <row r="2752" ht="16.5" customHeight="1" x14ac:dyDescent="0.2"/>
    <row r="2753" ht="16.5" customHeight="1" x14ac:dyDescent="0.2"/>
    <row r="2754" ht="16.5" customHeight="1" x14ac:dyDescent="0.2"/>
    <row r="2755" ht="16.5" customHeight="1" x14ac:dyDescent="0.2"/>
    <row r="2756" ht="16.5" customHeight="1" x14ac:dyDescent="0.2"/>
    <row r="2757" ht="16.5" customHeight="1" x14ac:dyDescent="0.2"/>
    <row r="2758" ht="16.5" customHeight="1" x14ac:dyDescent="0.2"/>
    <row r="2759" ht="16.5" customHeight="1" x14ac:dyDescent="0.2"/>
    <row r="2760" ht="16.5" customHeight="1" x14ac:dyDescent="0.2"/>
    <row r="2761" ht="16.5" customHeight="1" x14ac:dyDescent="0.2"/>
    <row r="2762" ht="16.5" customHeight="1" x14ac:dyDescent="0.2"/>
    <row r="2763" ht="16.5" customHeight="1" x14ac:dyDescent="0.2"/>
    <row r="2764" ht="16.5" customHeight="1" x14ac:dyDescent="0.2"/>
    <row r="2765" ht="16.5" customHeight="1" x14ac:dyDescent="0.2"/>
    <row r="2766" ht="16.5" customHeight="1" x14ac:dyDescent="0.2"/>
    <row r="2767" ht="16.5" customHeight="1" x14ac:dyDescent="0.2"/>
    <row r="2768" ht="16.5" customHeight="1" x14ac:dyDescent="0.2"/>
    <row r="2769" ht="16.5" customHeight="1" x14ac:dyDescent="0.2"/>
    <row r="2770" ht="16.5" customHeight="1" x14ac:dyDescent="0.2"/>
    <row r="2771" ht="16.5" customHeight="1" x14ac:dyDescent="0.2"/>
    <row r="2772" ht="16.5" customHeight="1" x14ac:dyDescent="0.2"/>
    <row r="2773" ht="16.5" customHeight="1" x14ac:dyDescent="0.2"/>
    <row r="2774" ht="16.5" customHeight="1" x14ac:dyDescent="0.2"/>
    <row r="2775" ht="16.5" customHeight="1" x14ac:dyDescent="0.2"/>
    <row r="2776" ht="16.5" customHeight="1" x14ac:dyDescent="0.2"/>
    <row r="2777" ht="16.5" customHeight="1" x14ac:dyDescent="0.2"/>
    <row r="2778" ht="16.5" customHeight="1" x14ac:dyDescent="0.2"/>
    <row r="2779" ht="16.5" customHeight="1" x14ac:dyDescent="0.2"/>
    <row r="2780" ht="16.5" customHeight="1" x14ac:dyDescent="0.2"/>
    <row r="2781" ht="16.5" customHeight="1" x14ac:dyDescent="0.2"/>
    <row r="2782" ht="16.5" customHeight="1" x14ac:dyDescent="0.2"/>
    <row r="2783" ht="16.5" customHeight="1" x14ac:dyDescent="0.2"/>
    <row r="2784" ht="16.5" customHeight="1" x14ac:dyDescent="0.2"/>
    <row r="2785" ht="16.5" customHeight="1" x14ac:dyDescent="0.2"/>
    <row r="2786" ht="16.5" customHeight="1" x14ac:dyDescent="0.2"/>
    <row r="2787" ht="16.5" customHeight="1" x14ac:dyDescent="0.2"/>
    <row r="2788" ht="16.5" customHeight="1" x14ac:dyDescent="0.2"/>
    <row r="2789" ht="16.5" customHeight="1" x14ac:dyDescent="0.2"/>
    <row r="2790" ht="16.5" customHeight="1" x14ac:dyDescent="0.2"/>
    <row r="2791" ht="16.5" customHeight="1" x14ac:dyDescent="0.2"/>
    <row r="2792" ht="16.5" customHeight="1" x14ac:dyDescent="0.2"/>
    <row r="2793" ht="16.5" customHeight="1" x14ac:dyDescent="0.2"/>
    <row r="2794" ht="16.5" customHeight="1" x14ac:dyDescent="0.2"/>
    <row r="2795" ht="16.5" customHeight="1" x14ac:dyDescent="0.2"/>
    <row r="2796" ht="16.5" customHeight="1" x14ac:dyDescent="0.2"/>
    <row r="2797" ht="16.5" customHeight="1" x14ac:dyDescent="0.2"/>
    <row r="2798" ht="16.5" customHeight="1" x14ac:dyDescent="0.2"/>
    <row r="2799" ht="16.5" customHeight="1" x14ac:dyDescent="0.2"/>
    <row r="2800" ht="16.5" customHeight="1" x14ac:dyDescent="0.2"/>
    <row r="2801" ht="16.5" customHeight="1" x14ac:dyDescent="0.2"/>
    <row r="2802" ht="16.5" customHeight="1" x14ac:dyDescent="0.2"/>
    <row r="2803" ht="16.5" customHeight="1" x14ac:dyDescent="0.2"/>
    <row r="2804" ht="16.5" customHeight="1" x14ac:dyDescent="0.2"/>
    <row r="2805" ht="16.5" customHeight="1" x14ac:dyDescent="0.2"/>
    <row r="2806" ht="16.5" customHeight="1" x14ac:dyDescent="0.2"/>
    <row r="2807" ht="16.5" customHeight="1" x14ac:dyDescent="0.2"/>
    <row r="2808" ht="16.5" customHeight="1" x14ac:dyDescent="0.2"/>
    <row r="2809" ht="16.5" customHeight="1" x14ac:dyDescent="0.2"/>
    <row r="2810" ht="16.5" customHeight="1" x14ac:dyDescent="0.2"/>
    <row r="2811" ht="16.5" customHeight="1" x14ac:dyDescent="0.2"/>
    <row r="2812" ht="16.5" customHeight="1" x14ac:dyDescent="0.2"/>
    <row r="2813" ht="16.5" customHeight="1" x14ac:dyDescent="0.2"/>
    <row r="2814" ht="16.5" customHeight="1" x14ac:dyDescent="0.2"/>
    <row r="2815" ht="16.5" customHeight="1" x14ac:dyDescent="0.2"/>
    <row r="2816" ht="16.5" customHeight="1" x14ac:dyDescent="0.2"/>
    <row r="2817" ht="16.5" customHeight="1" x14ac:dyDescent="0.2"/>
    <row r="2818" ht="16.5" customHeight="1" x14ac:dyDescent="0.2"/>
    <row r="2819" ht="16.5" customHeight="1" x14ac:dyDescent="0.2"/>
    <row r="2820" ht="16.5" customHeight="1" x14ac:dyDescent="0.2"/>
    <row r="2821" ht="16.5" customHeight="1" x14ac:dyDescent="0.2"/>
    <row r="2822" ht="16.5" customHeight="1" x14ac:dyDescent="0.2"/>
    <row r="2823" ht="16.5" customHeight="1" x14ac:dyDescent="0.2"/>
    <row r="2824" ht="16.5" customHeight="1" x14ac:dyDescent="0.2"/>
    <row r="2825" ht="16.5" customHeight="1" x14ac:dyDescent="0.2"/>
    <row r="2826" ht="16.5" customHeight="1" x14ac:dyDescent="0.2"/>
    <row r="2827" ht="16.5" customHeight="1" x14ac:dyDescent="0.2"/>
    <row r="2828" ht="16.5" customHeight="1" x14ac:dyDescent="0.2"/>
    <row r="2829" ht="16.5" customHeight="1" x14ac:dyDescent="0.2"/>
    <row r="2830" ht="16.5" customHeight="1" x14ac:dyDescent="0.2"/>
    <row r="2831" ht="16.5" customHeight="1" x14ac:dyDescent="0.2"/>
    <row r="2832" ht="16.5" customHeight="1" x14ac:dyDescent="0.2"/>
    <row r="2833" ht="16.5" customHeight="1" x14ac:dyDescent="0.2"/>
    <row r="2834" ht="16.5" customHeight="1" x14ac:dyDescent="0.2"/>
    <row r="2835" ht="16.5" customHeight="1" x14ac:dyDescent="0.2"/>
    <row r="2836" ht="16.5" customHeight="1" x14ac:dyDescent="0.2"/>
    <row r="2837" ht="16.5" customHeight="1" x14ac:dyDescent="0.2"/>
    <row r="2838" ht="16.5" customHeight="1" x14ac:dyDescent="0.2"/>
    <row r="2839" ht="16.5" customHeight="1" x14ac:dyDescent="0.2"/>
    <row r="2840" ht="16.5" customHeight="1" x14ac:dyDescent="0.2"/>
    <row r="2841" ht="16.5" customHeight="1" x14ac:dyDescent="0.2"/>
    <row r="2842" ht="16.5" customHeight="1" x14ac:dyDescent="0.2"/>
    <row r="2843" ht="16.5" customHeight="1" x14ac:dyDescent="0.2"/>
    <row r="2844" ht="16.5" customHeight="1" x14ac:dyDescent="0.2"/>
    <row r="2845" ht="16.5" customHeight="1" x14ac:dyDescent="0.2"/>
    <row r="2846" ht="16.5" customHeight="1" x14ac:dyDescent="0.2"/>
    <row r="2847" ht="16.5" customHeight="1" x14ac:dyDescent="0.2"/>
    <row r="2848" ht="16.5" customHeight="1" x14ac:dyDescent="0.2"/>
    <row r="2849" ht="16.5" customHeight="1" x14ac:dyDescent="0.2"/>
    <row r="2850" ht="16.5" customHeight="1" x14ac:dyDescent="0.2"/>
    <row r="2851" ht="16.5" customHeight="1" x14ac:dyDescent="0.2"/>
    <row r="2852" ht="16.5" customHeight="1" x14ac:dyDescent="0.2"/>
    <row r="2853" ht="16.5" customHeight="1" x14ac:dyDescent="0.2"/>
    <row r="2854" ht="16.5" customHeight="1" x14ac:dyDescent="0.2"/>
    <row r="2855" ht="16.5" customHeight="1" x14ac:dyDescent="0.2"/>
    <row r="2856" ht="16.5" customHeight="1" x14ac:dyDescent="0.2"/>
    <row r="2857" ht="16.5" customHeight="1" x14ac:dyDescent="0.2"/>
    <row r="2858" ht="16.5" customHeight="1" x14ac:dyDescent="0.2"/>
    <row r="2859" ht="16.5" customHeight="1" x14ac:dyDescent="0.2"/>
    <row r="2860" ht="16.5" customHeight="1" x14ac:dyDescent="0.2"/>
    <row r="2861" ht="16.5" customHeight="1" x14ac:dyDescent="0.2"/>
    <row r="2862" ht="16.5" customHeight="1" x14ac:dyDescent="0.2"/>
    <row r="2863" ht="16.5" customHeight="1" x14ac:dyDescent="0.2"/>
    <row r="2864" ht="16.5" customHeight="1" x14ac:dyDescent="0.2"/>
    <row r="2865" ht="16.5" customHeight="1" x14ac:dyDescent="0.2"/>
    <row r="2866" ht="16.5" customHeight="1" x14ac:dyDescent="0.2"/>
    <row r="2867" ht="16.5" customHeight="1" x14ac:dyDescent="0.2"/>
    <row r="2868" ht="16.5" customHeight="1" x14ac:dyDescent="0.2"/>
    <row r="2869" ht="16.5" customHeight="1" x14ac:dyDescent="0.2"/>
    <row r="2870" ht="16.5" customHeight="1" x14ac:dyDescent="0.2"/>
    <row r="2871" ht="16.5" customHeight="1" x14ac:dyDescent="0.2"/>
    <row r="2872" ht="16.5" customHeight="1" x14ac:dyDescent="0.2"/>
    <row r="2873" ht="16.5" customHeight="1" x14ac:dyDescent="0.2"/>
    <row r="2874" ht="16.5" customHeight="1" x14ac:dyDescent="0.2"/>
    <row r="2875" ht="16.5" customHeight="1" x14ac:dyDescent="0.2"/>
    <row r="2876" ht="16.5" customHeight="1" x14ac:dyDescent="0.2"/>
    <row r="2877" ht="16.5" customHeight="1" x14ac:dyDescent="0.2"/>
    <row r="2878" ht="16.5" customHeight="1" x14ac:dyDescent="0.2"/>
    <row r="2879" ht="16.5" customHeight="1" x14ac:dyDescent="0.2"/>
    <row r="2880" ht="16.5" customHeight="1" x14ac:dyDescent="0.2"/>
    <row r="2881" ht="16.5" customHeight="1" x14ac:dyDescent="0.2"/>
    <row r="2882" ht="16.5" customHeight="1" x14ac:dyDescent="0.2"/>
    <row r="2883" ht="16.5" customHeight="1" x14ac:dyDescent="0.2"/>
    <row r="2884" ht="16.5" customHeight="1" x14ac:dyDescent="0.2"/>
    <row r="2885" ht="16.5" customHeight="1" x14ac:dyDescent="0.2"/>
    <row r="2886" ht="16.5" customHeight="1" x14ac:dyDescent="0.2"/>
    <row r="2887" ht="16.5" customHeight="1" x14ac:dyDescent="0.2"/>
    <row r="2888" ht="16.5" customHeight="1" x14ac:dyDescent="0.2"/>
    <row r="2889" ht="16.5" customHeight="1" x14ac:dyDescent="0.2"/>
    <row r="2890" ht="16.5" customHeight="1" x14ac:dyDescent="0.2"/>
    <row r="2891" ht="16.5" customHeight="1" x14ac:dyDescent="0.2"/>
    <row r="2892" ht="16.5" customHeight="1" x14ac:dyDescent="0.2"/>
    <row r="2893" ht="16.5" customHeight="1" x14ac:dyDescent="0.2"/>
    <row r="2894" ht="16.5" customHeight="1" x14ac:dyDescent="0.2"/>
    <row r="2895" ht="16.5" customHeight="1" x14ac:dyDescent="0.2"/>
    <row r="2896" ht="16.5" customHeight="1" x14ac:dyDescent="0.2"/>
    <row r="2897" ht="16.5" customHeight="1" x14ac:dyDescent="0.2"/>
    <row r="2898" ht="16.5" customHeight="1" x14ac:dyDescent="0.2"/>
    <row r="2899" ht="16.5" customHeight="1" x14ac:dyDescent="0.2"/>
    <row r="2900" ht="16.5" customHeight="1" x14ac:dyDescent="0.2"/>
    <row r="2901" ht="16.5" customHeight="1" x14ac:dyDescent="0.2"/>
    <row r="2902" ht="16.5" customHeight="1" x14ac:dyDescent="0.2"/>
    <row r="2903" ht="16.5" customHeight="1" x14ac:dyDescent="0.2"/>
    <row r="2904" ht="16.5" customHeight="1" x14ac:dyDescent="0.2"/>
    <row r="2905" ht="16.5" customHeight="1" x14ac:dyDescent="0.2"/>
    <row r="2906" ht="16.5" customHeight="1" x14ac:dyDescent="0.2"/>
    <row r="2907" ht="16.5" customHeight="1" x14ac:dyDescent="0.2"/>
    <row r="2908" ht="16.5" customHeight="1" x14ac:dyDescent="0.2"/>
    <row r="2909" ht="16.5" customHeight="1" x14ac:dyDescent="0.2"/>
    <row r="2910" ht="16.5" customHeight="1" x14ac:dyDescent="0.2"/>
    <row r="2911" ht="16.5" customHeight="1" x14ac:dyDescent="0.2"/>
    <row r="2912" ht="16.5" customHeight="1" x14ac:dyDescent="0.2"/>
    <row r="2913" ht="16.5" customHeight="1" x14ac:dyDescent="0.2"/>
    <row r="2914" ht="16.5" customHeight="1" x14ac:dyDescent="0.2"/>
    <row r="2915" ht="16.5" customHeight="1" x14ac:dyDescent="0.2"/>
    <row r="2916" ht="16.5" customHeight="1" x14ac:dyDescent="0.2"/>
    <row r="2917" ht="16.5" customHeight="1" x14ac:dyDescent="0.2"/>
    <row r="2918" ht="16.5" customHeight="1" x14ac:dyDescent="0.2"/>
    <row r="2919" ht="16.5" customHeight="1" x14ac:dyDescent="0.2"/>
    <row r="2920" ht="16.5" customHeight="1" x14ac:dyDescent="0.2"/>
    <row r="2921" ht="16.5" customHeight="1" x14ac:dyDescent="0.2"/>
    <row r="2922" ht="16.5" customHeight="1" x14ac:dyDescent="0.2"/>
    <row r="2923" ht="16.5" customHeight="1" x14ac:dyDescent="0.2"/>
    <row r="2924" ht="16.5" customHeight="1" x14ac:dyDescent="0.2"/>
    <row r="2925" ht="16.5" customHeight="1" x14ac:dyDescent="0.2"/>
    <row r="2926" ht="16.5" customHeight="1" x14ac:dyDescent="0.2"/>
    <row r="2927" ht="16.5" customHeight="1" x14ac:dyDescent="0.2"/>
    <row r="2928" ht="16.5" customHeight="1" x14ac:dyDescent="0.2"/>
    <row r="2929" ht="16.5" customHeight="1" x14ac:dyDescent="0.2"/>
    <row r="2930" ht="16.5" customHeight="1" x14ac:dyDescent="0.2"/>
    <row r="2931" ht="16.5" customHeight="1" x14ac:dyDescent="0.2"/>
    <row r="2932" ht="16.5" customHeight="1" x14ac:dyDescent="0.2"/>
    <row r="2933" ht="16.5" customHeight="1" x14ac:dyDescent="0.2"/>
    <row r="2934" ht="16.5" customHeight="1" x14ac:dyDescent="0.2"/>
    <row r="2935" ht="16.5" customHeight="1" x14ac:dyDescent="0.2"/>
    <row r="2936" ht="16.5" customHeight="1" x14ac:dyDescent="0.2"/>
    <row r="2937" ht="16.5" customHeight="1" x14ac:dyDescent="0.2"/>
    <row r="2938" ht="16.5" customHeight="1" x14ac:dyDescent="0.2"/>
    <row r="2939" ht="16.5" customHeight="1" x14ac:dyDescent="0.2"/>
    <row r="2940" ht="16.5" customHeight="1" x14ac:dyDescent="0.2"/>
    <row r="2941" ht="16.5" customHeight="1" x14ac:dyDescent="0.2"/>
    <row r="2942" ht="16.5" customHeight="1" x14ac:dyDescent="0.2"/>
    <row r="2943" ht="16.5" customHeight="1" x14ac:dyDescent="0.2"/>
    <row r="2944" ht="16.5" customHeight="1" x14ac:dyDescent="0.2"/>
    <row r="2945" ht="16.5" customHeight="1" x14ac:dyDescent="0.2"/>
    <row r="2946" ht="16.5" customHeight="1" x14ac:dyDescent="0.2"/>
    <row r="2947" ht="16.5" customHeight="1" x14ac:dyDescent="0.2"/>
    <row r="2948" ht="16.5" customHeight="1" x14ac:dyDescent="0.2"/>
    <row r="2949" ht="16.5" customHeight="1" x14ac:dyDescent="0.2"/>
    <row r="2950" ht="16.5" customHeight="1" x14ac:dyDescent="0.2"/>
    <row r="2951" ht="16.5" customHeight="1" x14ac:dyDescent="0.2"/>
    <row r="2952" ht="16.5" customHeight="1" x14ac:dyDescent="0.2"/>
    <row r="2953" ht="16.5" customHeight="1" x14ac:dyDescent="0.2"/>
    <row r="2954" ht="16.5" customHeight="1" x14ac:dyDescent="0.2"/>
    <row r="2955" ht="16.5" customHeight="1" x14ac:dyDescent="0.2"/>
    <row r="2956" ht="16.5" customHeight="1" x14ac:dyDescent="0.2"/>
    <row r="2957" ht="16.5" customHeight="1" x14ac:dyDescent="0.2"/>
    <row r="2958" ht="16.5" customHeight="1" x14ac:dyDescent="0.2"/>
    <row r="2959" ht="16.5" customHeight="1" x14ac:dyDescent="0.2"/>
    <row r="2960" ht="16.5" customHeight="1" x14ac:dyDescent="0.2"/>
    <row r="2961" ht="16.5" customHeight="1" x14ac:dyDescent="0.2"/>
    <row r="2962" ht="16.5" customHeight="1" x14ac:dyDescent="0.2"/>
    <row r="2963" ht="16.5" customHeight="1" x14ac:dyDescent="0.2"/>
    <row r="2964" ht="16.5" customHeight="1" x14ac:dyDescent="0.2"/>
    <row r="2965" ht="16.5" customHeight="1" x14ac:dyDescent="0.2"/>
    <row r="2966" ht="16.5" customHeight="1" x14ac:dyDescent="0.2"/>
    <row r="2967" ht="16.5" customHeight="1" x14ac:dyDescent="0.2"/>
    <row r="2968" ht="16.5" customHeight="1" x14ac:dyDescent="0.2"/>
    <row r="2969" ht="16.5" customHeight="1" x14ac:dyDescent="0.2"/>
    <row r="2970" ht="16.5" customHeight="1" x14ac:dyDescent="0.2"/>
    <row r="2971" ht="16.5" customHeight="1" x14ac:dyDescent="0.2"/>
    <row r="2972" ht="16.5" customHeight="1" x14ac:dyDescent="0.2"/>
    <row r="2973" ht="16.5" customHeight="1" x14ac:dyDescent="0.2"/>
    <row r="2974" ht="16.5" customHeight="1" x14ac:dyDescent="0.2"/>
    <row r="2975" ht="16.5" customHeight="1" x14ac:dyDescent="0.2"/>
    <row r="2976" ht="16.5" customHeight="1" x14ac:dyDescent="0.2"/>
    <row r="2977" ht="16.5" customHeight="1" x14ac:dyDescent="0.2"/>
    <row r="2978" ht="16.5" customHeight="1" x14ac:dyDescent="0.2"/>
    <row r="2979" ht="16.5" customHeight="1" x14ac:dyDescent="0.2"/>
    <row r="2980" ht="16.5" customHeight="1" x14ac:dyDescent="0.2"/>
    <row r="2981" ht="16.5" customHeight="1" x14ac:dyDescent="0.2"/>
    <row r="2982" ht="16.5" customHeight="1" x14ac:dyDescent="0.2"/>
    <row r="2983" ht="16.5" customHeight="1" x14ac:dyDescent="0.2"/>
    <row r="2984" ht="16.5" customHeight="1" x14ac:dyDescent="0.2"/>
    <row r="2985" ht="16.5" customHeight="1" x14ac:dyDescent="0.2"/>
    <row r="2986" ht="16.5" customHeight="1" x14ac:dyDescent="0.2"/>
    <row r="2987" ht="16.5" customHeight="1" x14ac:dyDescent="0.2"/>
    <row r="2988" ht="16.5" customHeight="1" x14ac:dyDescent="0.2"/>
    <row r="2989" ht="16.5" customHeight="1" x14ac:dyDescent="0.2"/>
    <row r="2990" ht="16.5" customHeight="1" x14ac:dyDescent="0.2"/>
    <row r="2991" ht="16.5" customHeight="1" x14ac:dyDescent="0.2"/>
    <row r="2992" ht="16.5" customHeight="1" x14ac:dyDescent="0.2"/>
    <row r="2993" ht="16.5" customHeight="1" x14ac:dyDescent="0.2"/>
    <row r="2994" ht="16.5" customHeight="1" x14ac:dyDescent="0.2"/>
    <row r="2995" ht="16.5" customHeight="1" x14ac:dyDescent="0.2"/>
    <row r="2996" ht="16.5" customHeight="1" x14ac:dyDescent="0.2"/>
    <row r="2997" ht="16.5" customHeight="1" x14ac:dyDescent="0.2"/>
    <row r="2998" ht="16.5" customHeight="1" x14ac:dyDescent="0.2"/>
    <row r="2999" ht="16.5" customHeight="1" x14ac:dyDescent="0.2"/>
    <row r="3000" ht="16.5" customHeight="1" x14ac:dyDescent="0.2"/>
    <row r="3001" ht="16.5" customHeight="1" x14ac:dyDescent="0.2"/>
    <row r="3002" ht="16.5" customHeight="1" x14ac:dyDescent="0.2"/>
    <row r="3003" ht="16.5" customHeight="1" x14ac:dyDescent="0.2"/>
    <row r="3004" ht="16.5" customHeight="1" x14ac:dyDescent="0.2"/>
    <row r="3005" ht="16.5" customHeight="1" x14ac:dyDescent="0.2"/>
    <row r="3006" ht="16.5" customHeight="1" x14ac:dyDescent="0.2"/>
    <row r="3007" ht="16.5" customHeight="1" x14ac:dyDescent="0.2"/>
    <row r="3008" ht="16.5" customHeight="1" x14ac:dyDescent="0.2"/>
    <row r="3009" ht="16.5" customHeight="1" x14ac:dyDescent="0.2"/>
    <row r="3010" ht="16.5" customHeight="1" x14ac:dyDescent="0.2"/>
    <row r="3011" ht="16.5" customHeight="1" x14ac:dyDescent="0.2"/>
    <row r="3012" ht="16.5" customHeight="1" x14ac:dyDescent="0.2"/>
    <row r="3013" ht="16.5" customHeight="1" x14ac:dyDescent="0.2"/>
    <row r="3014" ht="16.5" customHeight="1" x14ac:dyDescent="0.2"/>
    <row r="3015" ht="16.5" customHeight="1" x14ac:dyDescent="0.2"/>
    <row r="3016" ht="16.5" customHeight="1" x14ac:dyDescent="0.2"/>
    <row r="3017" ht="16.5" customHeight="1" x14ac:dyDescent="0.2"/>
    <row r="3018" ht="16.5" customHeight="1" x14ac:dyDescent="0.2"/>
    <row r="3019" ht="16.5" customHeight="1" x14ac:dyDescent="0.2"/>
    <row r="3020" ht="16.5" customHeight="1" x14ac:dyDescent="0.2"/>
    <row r="3021" ht="16.5" customHeight="1" x14ac:dyDescent="0.2"/>
    <row r="3022" ht="16.5" customHeight="1" x14ac:dyDescent="0.2"/>
    <row r="3023" ht="16.5" customHeight="1" x14ac:dyDescent="0.2"/>
    <row r="3024" ht="16.5" customHeight="1" x14ac:dyDescent="0.2"/>
    <row r="3025" ht="16.5" customHeight="1" x14ac:dyDescent="0.2"/>
    <row r="3026" ht="16.5" customHeight="1" x14ac:dyDescent="0.2"/>
    <row r="3027" ht="16.5" customHeight="1" x14ac:dyDescent="0.2"/>
    <row r="3028" ht="16.5" customHeight="1" x14ac:dyDescent="0.2"/>
    <row r="3029" ht="16.5" customHeight="1" x14ac:dyDescent="0.2"/>
    <row r="3030" ht="16.5" customHeight="1" x14ac:dyDescent="0.2"/>
    <row r="3031" ht="16.5" customHeight="1" x14ac:dyDescent="0.2"/>
    <row r="3032" ht="16.5" customHeight="1" x14ac:dyDescent="0.2"/>
    <row r="3033" ht="16.5" customHeight="1" x14ac:dyDescent="0.2"/>
    <row r="3034" ht="16.5" customHeight="1" x14ac:dyDescent="0.2"/>
    <row r="3035" ht="16.5" customHeight="1" x14ac:dyDescent="0.2"/>
    <row r="3036" ht="16.5" customHeight="1" x14ac:dyDescent="0.2"/>
    <row r="3037" ht="16.5" customHeight="1" x14ac:dyDescent="0.2"/>
    <row r="3038" ht="16.5" customHeight="1" x14ac:dyDescent="0.2"/>
    <row r="3039" ht="16.5" customHeight="1" x14ac:dyDescent="0.2"/>
    <row r="3040" ht="16.5" customHeight="1" x14ac:dyDescent="0.2"/>
    <row r="3041" ht="16.5" customHeight="1" x14ac:dyDescent="0.2"/>
    <row r="3042" ht="16.5" customHeight="1" x14ac:dyDescent="0.2"/>
    <row r="3043" ht="16.5" customHeight="1" x14ac:dyDescent="0.2"/>
    <row r="3044" ht="16.5" customHeight="1" x14ac:dyDescent="0.2"/>
    <row r="3045" ht="16.5" customHeight="1" x14ac:dyDescent="0.2"/>
    <row r="3046" ht="16.5" customHeight="1" x14ac:dyDescent="0.2"/>
    <row r="3047" ht="16.5" customHeight="1" x14ac:dyDescent="0.2"/>
    <row r="3048" ht="16.5" customHeight="1" x14ac:dyDescent="0.2"/>
    <row r="3049" ht="16.5" customHeight="1" x14ac:dyDescent="0.2"/>
    <row r="3050" ht="16.5" customHeight="1" x14ac:dyDescent="0.2"/>
    <row r="3051" ht="16.5" customHeight="1" x14ac:dyDescent="0.2"/>
    <row r="3052" ht="16.5" customHeight="1" x14ac:dyDescent="0.2"/>
    <row r="3053" ht="16.5" customHeight="1" x14ac:dyDescent="0.2"/>
    <row r="3054" ht="16.5" customHeight="1" x14ac:dyDescent="0.2"/>
    <row r="3055" ht="16.5" customHeight="1" x14ac:dyDescent="0.2"/>
    <row r="3056" ht="16.5" customHeight="1" x14ac:dyDescent="0.2"/>
    <row r="3057" ht="16.5" customHeight="1" x14ac:dyDescent="0.2"/>
    <row r="3058" ht="16.5" customHeight="1" x14ac:dyDescent="0.2"/>
    <row r="3059" ht="16.5" customHeight="1" x14ac:dyDescent="0.2"/>
    <row r="3060" ht="16.5" customHeight="1" x14ac:dyDescent="0.2"/>
    <row r="3061" ht="16.5" customHeight="1" x14ac:dyDescent="0.2"/>
    <row r="3062" ht="16.5" customHeight="1" x14ac:dyDescent="0.2"/>
    <row r="3063" ht="16.5" customHeight="1" x14ac:dyDescent="0.2"/>
    <row r="3064" ht="16.5" customHeight="1" x14ac:dyDescent="0.2"/>
    <row r="3065" ht="16.5" customHeight="1" x14ac:dyDescent="0.2"/>
    <row r="3066" ht="16.5" customHeight="1" x14ac:dyDescent="0.2"/>
    <row r="3067" ht="16.5" customHeight="1" x14ac:dyDescent="0.2"/>
    <row r="3068" ht="16.5" customHeight="1" x14ac:dyDescent="0.2"/>
    <row r="3069" ht="16.5" customHeight="1" x14ac:dyDescent="0.2"/>
    <row r="3070" ht="16.5" customHeight="1" x14ac:dyDescent="0.2"/>
    <row r="3071" ht="16.5" customHeight="1" x14ac:dyDescent="0.2"/>
    <row r="3072" ht="16.5" customHeight="1" x14ac:dyDescent="0.2"/>
    <row r="3073" ht="16.5" customHeight="1" x14ac:dyDescent="0.2"/>
    <row r="3074" ht="16.5" customHeight="1" x14ac:dyDescent="0.2"/>
    <row r="3075" ht="16.5" customHeight="1" x14ac:dyDescent="0.2"/>
    <row r="3076" ht="16.5" customHeight="1" x14ac:dyDescent="0.2"/>
    <row r="3077" ht="16.5" customHeight="1" x14ac:dyDescent="0.2"/>
    <row r="3078" ht="16.5" customHeight="1" x14ac:dyDescent="0.2"/>
    <row r="3079" ht="16.5" customHeight="1" x14ac:dyDescent="0.2"/>
    <row r="3080" ht="16.5" customHeight="1" x14ac:dyDescent="0.2"/>
    <row r="3081" ht="16.5" customHeight="1" x14ac:dyDescent="0.2"/>
    <row r="3082" ht="16.5" customHeight="1" x14ac:dyDescent="0.2"/>
    <row r="3083" ht="16.5" customHeight="1" x14ac:dyDescent="0.2"/>
    <row r="3084" ht="16.5" customHeight="1" x14ac:dyDescent="0.2"/>
    <row r="3085" ht="16.5" customHeight="1" x14ac:dyDescent="0.2"/>
    <row r="3086" ht="16.5" customHeight="1" x14ac:dyDescent="0.2"/>
    <row r="3087" ht="16.5" customHeight="1" x14ac:dyDescent="0.2"/>
    <row r="3088" ht="16.5" customHeight="1" x14ac:dyDescent="0.2"/>
    <row r="3089" ht="16.5" customHeight="1" x14ac:dyDescent="0.2"/>
    <row r="3090" ht="16.5" customHeight="1" x14ac:dyDescent="0.2"/>
    <row r="3091" ht="16.5" customHeight="1" x14ac:dyDescent="0.2"/>
    <row r="3092" ht="16.5" customHeight="1" x14ac:dyDescent="0.2"/>
    <row r="3093" ht="16.5" customHeight="1" x14ac:dyDescent="0.2"/>
    <row r="3094" ht="16.5" customHeight="1" x14ac:dyDescent="0.2"/>
    <row r="3095" ht="16.5" customHeight="1" x14ac:dyDescent="0.2"/>
    <row r="3096" ht="16.5" customHeight="1" x14ac:dyDescent="0.2"/>
    <row r="3097" ht="16.5" customHeight="1" x14ac:dyDescent="0.2"/>
    <row r="3098" ht="16.5" customHeight="1" x14ac:dyDescent="0.2"/>
    <row r="3099" ht="16.5" customHeight="1" x14ac:dyDescent="0.2"/>
    <row r="3100" ht="16.5" customHeight="1" x14ac:dyDescent="0.2"/>
    <row r="3101" ht="16.5" customHeight="1" x14ac:dyDescent="0.2"/>
    <row r="3102" ht="16.5" customHeight="1" x14ac:dyDescent="0.2"/>
    <row r="3103" ht="16.5" customHeight="1" x14ac:dyDescent="0.2"/>
    <row r="3104" ht="16.5" customHeight="1" x14ac:dyDescent="0.2"/>
    <row r="3105" ht="16.5" customHeight="1" x14ac:dyDescent="0.2"/>
    <row r="3106" ht="16.5" customHeight="1" x14ac:dyDescent="0.2"/>
    <row r="3107" ht="16.5" customHeight="1" x14ac:dyDescent="0.2"/>
    <row r="3108" ht="16.5" customHeight="1" x14ac:dyDescent="0.2"/>
    <row r="3109" ht="16.5" customHeight="1" x14ac:dyDescent="0.2"/>
    <row r="3110" ht="16.5" customHeight="1" x14ac:dyDescent="0.2"/>
    <row r="3111" ht="16.5" customHeight="1" x14ac:dyDescent="0.2"/>
    <row r="3112" ht="16.5" customHeight="1" x14ac:dyDescent="0.2"/>
    <row r="3113" ht="16.5" customHeight="1" x14ac:dyDescent="0.2"/>
    <row r="3114" ht="16.5" customHeight="1" x14ac:dyDescent="0.2"/>
    <row r="3115" ht="16.5" customHeight="1" x14ac:dyDescent="0.2"/>
    <row r="3116" ht="16.5" customHeight="1" x14ac:dyDescent="0.2"/>
    <row r="3117" ht="16.5" customHeight="1" x14ac:dyDescent="0.2"/>
    <row r="3118" ht="16.5" customHeight="1" x14ac:dyDescent="0.2"/>
    <row r="3119" ht="16.5" customHeight="1" x14ac:dyDescent="0.2"/>
    <row r="3120" ht="16.5" customHeight="1" x14ac:dyDescent="0.2"/>
    <row r="3121" ht="16.5" customHeight="1" x14ac:dyDescent="0.2"/>
    <row r="3122" ht="16.5" customHeight="1" x14ac:dyDescent="0.2"/>
    <row r="3123" ht="16.5" customHeight="1" x14ac:dyDescent="0.2"/>
    <row r="3124" ht="16.5" customHeight="1" x14ac:dyDescent="0.2"/>
    <row r="3125" ht="16.5" customHeight="1" x14ac:dyDescent="0.2"/>
    <row r="3126" ht="16.5" customHeight="1" x14ac:dyDescent="0.2"/>
    <row r="3127" ht="16.5" customHeight="1" x14ac:dyDescent="0.2"/>
    <row r="3128" ht="16.5" customHeight="1" x14ac:dyDescent="0.2"/>
    <row r="3129" ht="16.5" customHeight="1" x14ac:dyDescent="0.2"/>
    <row r="3130" ht="16.5" customHeight="1" x14ac:dyDescent="0.2"/>
    <row r="3131" ht="16.5" customHeight="1" x14ac:dyDescent="0.2"/>
    <row r="3132" ht="16.5" customHeight="1" x14ac:dyDescent="0.2"/>
    <row r="3133" ht="16.5" customHeight="1" x14ac:dyDescent="0.2"/>
    <row r="3134" ht="16.5" customHeight="1" x14ac:dyDescent="0.2"/>
    <row r="3135" ht="16.5" customHeight="1" x14ac:dyDescent="0.2"/>
    <row r="3136" ht="16.5" customHeight="1" x14ac:dyDescent="0.2"/>
    <row r="3137" ht="16.5" customHeight="1" x14ac:dyDescent="0.2"/>
    <row r="3138" ht="16.5" customHeight="1" x14ac:dyDescent="0.2"/>
    <row r="3139" ht="16.5" customHeight="1" x14ac:dyDescent="0.2"/>
    <row r="3140" ht="16.5" customHeight="1" x14ac:dyDescent="0.2"/>
    <row r="3141" ht="16.5" customHeight="1" x14ac:dyDescent="0.2"/>
    <row r="3142" ht="16.5" customHeight="1" x14ac:dyDescent="0.2"/>
    <row r="3143" ht="16.5" customHeight="1" x14ac:dyDescent="0.2"/>
    <row r="3144" ht="16.5" customHeight="1" x14ac:dyDescent="0.2"/>
    <row r="3145" ht="16.5" customHeight="1" x14ac:dyDescent="0.2"/>
    <row r="3146" ht="16.5" customHeight="1" x14ac:dyDescent="0.2"/>
    <row r="3147" ht="16.5" customHeight="1" x14ac:dyDescent="0.2"/>
    <row r="3148" ht="16.5" customHeight="1" x14ac:dyDescent="0.2"/>
    <row r="3149" ht="16.5" customHeight="1" x14ac:dyDescent="0.2"/>
    <row r="3150" ht="16.5" customHeight="1" x14ac:dyDescent="0.2"/>
    <row r="3151" ht="16.5" customHeight="1" x14ac:dyDescent="0.2"/>
    <row r="3152" ht="16.5" customHeight="1" x14ac:dyDescent="0.2"/>
    <row r="3153" ht="16.5" customHeight="1" x14ac:dyDescent="0.2"/>
    <row r="3154" ht="16.5" customHeight="1" x14ac:dyDescent="0.2"/>
    <row r="3155" ht="16.5" customHeight="1" x14ac:dyDescent="0.2"/>
    <row r="3156" ht="16.5" customHeight="1" x14ac:dyDescent="0.2"/>
    <row r="3157" ht="16.5" customHeight="1" x14ac:dyDescent="0.2"/>
    <row r="3158" ht="16.5" customHeight="1" x14ac:dyDescent="0.2"/>
    <row r="3159" ht="16.5" customHeight="1" x14ac:dyDescent="0.2"/>
    <row r="3160" ht="16.5" customHeight="1" x14ac:dyDescent="0.2"/>
    <row r="3161" ht="16.5" customHeight="1" x14ac:dyDescent="0.2"/>
    <row r="3162" ht="16.5" customHeight="1" x14ac:dyDescent="0.2"/>
    <row r="3163" ht="16.5" customHeight="1" x14ac:dyDescent="0.2"/>
    <row r="3164" ht="16.5" customHeight="1" x14ac:dyDescent="0.2"/>
    <row r="3165" ht="16.5" customHeight="1" x14ac:dyDescent="0.2"/>
    <row r="3166" ht="16.5" customHeight="1" x14ac:dyDescent="0.2"/>
    <row r="3167" ht="16.5" customHeight="1" x14ac:dyDescent="0.2"/>
    <row r="3168" ht="16.5" customHeight="1" x14ac:dyDescent="0.2"/>
    <row r="3169" ht="16.5" customHeight="1" x14ac:dyDescent="0.2"/>
    <row r="3170" ht="16.5" customHeight="1" x14ac:dyDescent="0.2"/>
    <row r="3171" ht="16.5" customHeight="1" x14ac:dyDescent="0.2"/>
    <row r="3172" ht="16.5" customHeight="1" x14ac:dyDescent="0.2"/>
    <row r="3173" ht="16.5" customHeight="1" x14ac:dyDescent="0.2"/>
    <row r="3174" ht="16.5" customHeight="1" x14ac:dyDescent="0.2"/>
    <row r="3175" ht="16.5" customHeight="1" x14ac:dyDescent="0.2"/>
    <row r="3176" ht="16.5" customHeight="1" x14ac:dyDescent="0.2"/>
    <row r="3177" ht="16.5" customHeight="1" x14ac:dyDescent="0.2"/>
    <row r="3178" ht="16.5" customHeight="1" x14ac:dyDescent="0.2"/>
    <row r="3179" ht="16.5" customHeight="1" x14ac:dyDescent="0.2"/>
    <row r="3180" ht="16.5" customHeight="1" x14ac:dyDescent="0.2"/>
    <row r="3181" ht="16.5" customHeight="1" x14ac:dyDescent="0.2"/>
    <row r="3182" ht="16.5" customHeight="1" x14ac:dyDescent="0.2"/>
    <row r="3183" ht="16.5" customHeight="1" x14ac:dyDescent="0.2"/>
    <row r="3184" ht="16.5" customHeight="1" x14ac:dyDescent="0.2"/>
    <row r="3185" ht="16.5" customHeight="1" x14ac:dyDescent="0.2"/>
    <row r="3186" ht="16.5" customHeight="1" x14ac:dyDescent="0.2"/>
    <row r="3187" ht="16.5" customHeight="1" x14ac:dyDescent="0.2"/>
    <row r="3188" ht="16.5" customHeight="1" x14ac:dyDescent="0.2"/>
    <row r="3189" ht="16.5" customHeight="1" x14ac:dyDescent="0.2"/>
    <row r="3190" ht="16.5" customHeight="1" x14ac:dyDescent="0.2"/>
    <row r="3191" ht="16.5" customHeight="1" x14ac:dyDescent="0.2"/>
    <row r="3192" ht="16.5" customHeight="1" x14ac:dyDescent="0.2"/>
    <row r="3193" ht="16.5" customHeight="1" x14ac:dyDescent="0.2"/>
    <row r="3194" ht="16.5" customHeight="1" x14ac:dyDescent="0.2"/>
    <row r="3195" ht="16.5" customHeight="1" x14ac:dyDescent="0.2"/>
    <row r="3196" ht="16.5" customHeight="1" x14ac:dyDescent="0.2"/>
    <row r="3197" ht="16.5" customHeight="1" x14ac:dyDescent="0.2"/>
    <row r="3198" ht="16.5" customHeight="1" x14ac:dyDescent="0.2"/>
    <row r="3199" ht="16.5" customHeight="1" x14ac:dyDescent="0.2"/>
    <row r="3200" ht="16.5" customHeight="1" x14ac:dyDescent="0.2"/>
    <row r="3201" ht="16.5" customHeight="1" x14ac:dyDescent="0.2"/>
    <row r="3202" ht="16.5" customHeight="1" x14ac:dyDescent="0.2"/>
    <row r="3203" ht="16.5" customHeight="1" x14ac:dyDescent="0.2"/>
    <row r="3204" ht="16.5" customHeight="1" x14ac:dyDescent="0.2"/>
    <row r="3205" ht="16.5" customHeight="1" x14ac:dyDescent="0.2"/>
    <row r="3206" ht="16.5" customHeight="1" x14ac:dyDescent="0.2"/>
    <row r="3207" ht="16.5" customHeight="1" x14ac:dyDescent="0.2"/>
    <row r="3208" ht="16.5" customHeight="1" x14ac:dyDescent="0.2"/>
    <row r="3209" ht="16.5" customHeight="1" x14ac:dyDescent="0.2"/>
    <row r="3210" ht="16.5" customHeight="1" x14ac:dyDescent="0.2"/>
    <row r="3211" ht="16.5" customHeight="1" x14ac:dyDescent="0.2"/>
    <row r="3212" ht="16.5" customHeight="1" x14ac:dyDescent="0.2"/>
    <row r="3213" ht="16.5" customHeight="1" x14ac:dyDescent="0.2"/>
    <row r="3214" ht="16.5" customHeight="1" x14ac:dyDescent="0.2"/>
    <row r="3215" ht="16.5" customHeight="1" x14ac:dyDescent="0.2"/>
    <row r="3216" ht="16.5" customHeight="1" x14ac:dyDescent="0.2"/>
    <row r="3217" ht="16.5" customHeight="1" x14ac:dyDescent="0.2"/>
    <row r="3218" ht="16.5" customHeight="1" x14ac:dyDescent="0.2"/>
    <row r="3219" ht="16.5" customHeight="1" x14ac:dyDescent="0.2"/>
    <row r="3220" ht="16.5" customHeight="1" x14ac:dyDescent="0.2"/>
    <row r="3221" ht="16.5" customHeight="1" x14ac:dyDescent="0.2"/>
    <row r="3222" ht="16.5" customHeight="1" x14ac:dyDescent="0.2"/>
    <row r="3223" ht="16.5" customHeight="1" x14ac:dyDescent="0.2"/>
    <row r="3224" ht="16.5" customHeight="1" x14ac:dyDescent="0.2"/>
    <row r="3225" ht="16.5" customHeight="1" x14ac:dyDescent="0.2"/>
    <row r="3226" ht="16.5" customHeight="1" x14ac:dyDescent="0.2"/>
    <row r="3227" ht="16.5" customHeight="1" x14ac:dyDescent="0.2"/>
    <row r="3228" ht="16.5" customHeight="1" x14ac:dyDescent="0.2"/>
    <row r="3229" ht="16.5" customHeight="1" x14ac:dyDescent="0.2"/>
    <row r="3230" ht="16.5" customHeight="1" x14ac:dyDescent="0.2"/>
    <row r="3231" ht="16.5" customHeight="1" x14ac:dyDescent="0.2"/>
    <row r="3232" ht="16.5" customHeight="1" x14ac:dyDescent="0.2"/>
    <row r="3233" ht="16.5" customHeight="1" x14ac:dyDescent="0.2"/>
    <row r="3234" ht="16.5" customHeight="1" x14ac:dyDescent="0.2"/>
    <row r="3235" ht="16.5" customHeight="1" x14ac:dyDescent="0.2"/>
    <row r="3236" ht="16.5" customHeight="1" x14ac:dyDescent="0.2"/>
    <row r="3237" ht="16.5" customHeight="1" x14ac:dyDescent="0.2"/>
    <row r="3238" ht="16.5" customHeight="1" x14ac:dyDescent="0.2"/>
    <row r="3239" ht="16.5" customHeight="1" x14ac:dyDescent="0.2"/>
    <row r="3240" ht="16.5" customHeight="1" x14ac:dyDescent="0.2"/>
    <row r="3241" ht="16.5" customHeight="1" x14ac:dyDescent="0.2"/>
    <row r="3242" ht="16.5" customHeight="1" x14ac:dyDescent="0.2"/>
    <row r="3243" ht="16.5" customHeight="1" x14ac:dyDescent="0.2"/>
    <row r="3244" ht="16.5" customHeight="1" x14ac:dyDescent="0.2"/>
    <row r="3245" ht="16.5" customHeight="1" x14ac:dyDescent="0.2"/>
    <row r="3246" ht="16.5" customHeight="1" x14ac:dyDescent="0.2"/>
    <row r="3247" ht="16.5" customHeight="1" x14ac:dyDescent="0.2"/>
    <row r="3248" ht="16.5" customHeight="1" x14ac:dyDescent="0.2"/>
    <row r="3249" ht="16.5" customHeight="1" x14ac:dyDescent="0.2"/>
    <row r="3250" ht="16.5" customHeight="1" x14ac:dyDescent="0.2"/>
    <row r="3251" ht="16.5" customHeight="1" x14ac:dyDescent="0.2"/>
    <row r="3252" ht="16.5" customHeight="1" x14ac:dyDescent="0.2"/>
    <row r="3253" ht="16.5" customHeight="1" x14ac:dyDescent="0.2"/>
    <row r="3254" ht="16.5" customHeight="1" x14ac:dyDescent="0.2"/>
    <row r="3255" ht="16.5" customHeight="1" x14ac:dyDescent="0.2"/>
    <row r="3256" ht="16.5" customHeight="1" x14ac:dyDescent="0.2"/>
    <row r="3257" ht="16.5" customHeight="1" x14ac:dyDescent="0.2"/>
    <row r="3258" ht="16.5" customHeight="1" x14ac:dyDescent="0.2"/>
    <row r="3259" ht="16.5" customHeight="1" x14ac:dyDescent="0.2"/>
    <row r="3260" ht="16.5" customHeight="1" x14ac:dyDescent="0.2"/>
    <row r="3261" ht="16.5" customHeight="1" x14ac:dyDescent="0.2"/>
    <row r="3262" ht="16.5" customHeight="1" x14ac:dyDescent="0.2"/>
    <row r="3263" ht="16.5" customHeight="1" x14ac:dyDescent="0.2"/>
    <row r="3264" ht="16.5" customHeight="1" x14ac:dyDescent="0.2"/>
    <row r="3265" ht="16.5" customHeight="1" x14ac:dyDescent="0.2"/>
    <row r="3266" ht="16.5" customHeight="1" x14ac:dyDescent="0.2"/>
    <row r="3267" ht="16.5" customHeight="1" x14ac:dyDescent="0.2"/>
    <row r="3268" ht="16.5" customHeight="1" x14ac:dyDescent="0.2"/>
    <row r="3269" ht="16.5" customHeight="1" x14ac:dyDescent="0.2"/>
    <row r="3270" ht="16.5" customHeight="1" x14ac:dyDescent="0.2"/>
    <row r="3271" ht="16.5" customHeight="1" x14ac:dyDescent="0.2"/>
    <row r="3272" ht="16.5" customHeight="1" x14ac:dyDescent="0.2"/>
    <row r="3273" ht="16.5" customHeight="1" x14ac:dyDescent="0.2"/>
    <row r="3274" ht="16.5" customHeight="1" x14ac:dyDescent="0.2"/>
    <row r="3275" ht="16.5" customHeight="1" x14ac:dyDescent="0.2"/>
    <row r="3276" ht="16.5" customHeight="1" x14ac:dyDescent="0.2"/>
    <row r="3277" ht="16.5" customHeight="1" x14ac:dyDescent="0.2"/>
    <row r="3278" ht="16.5" customHeight="1" x14ac:dyDescent="0.2"/>
    <row r="3279" ht="16.5" customHeight="1" x14ac:dyDescent="0.2"/>
    <row r="3280" ht="16.5" customHeight="1" x14ac:dyDescent="0.2"/>
    <row r="3281" ht="16.5" customHeight="1" x14ac:dyDescent="0.2"/>
    <row r="3282" ht="16.5" customHeight="1" x14ac:dyDescent="0.2"/>
    <row r="3283" ht="16.5" customHeight="1" x14ac:dyDescent="0.2"/>
    <row r="3284" ht="16.5" customHeight="1" x14ac:dyDescent="0.2"/>
    <row r="3285" ht="16.5" customHeight="1" x14ac:dyDescent="0.2"/>
    <row r="3286" ht="16.5" customHeight="1" x14ac:dyDescent="0.2"/>
    <row r="3287" ht="16.5" customHeight="1" x14ac:dyDescent="0.2"/>
    <row r="3288" ht="16.5" customHeight="1" x14ac:dyDescent="0.2"/>
    <row r="3289" ht="16.5" customHeight="1" x14ac:dyDescent="0.2"/>
    <row r="3290" ht="16.5" customHeight="1" x14ac:dyDescent="0.2"/>
    <row r="3291" ht="16.5" customHeight="1" x14ac:dyDescent="0.2"/>
    <row r="3292" ht="16.5" customHeight="1" x14ac:dyDescent="0.2"/>
    <row r="3293" ht="16.5" customHeight="1" x14ac:dyDescent="0.2"/>
    <row r="3294" ht="16.5" customHeight="1" x14ac:dyDescent="0.2"/>
    <row r="3295" ht="16.5" customHeight="1" x14ac:dyDescent="0.2"/>
    <row r="3296" ht="16.5" customHeight="1" x14ac:dyDescent="0.2"/>
    <row r="3297" ht="16.5" customHeight="1" x14ac:dyDescent="0.2"/>
    <row r="3298" ht="16.5" customHeight="1" x14ac:dyDescent="0.2"/>
    <row r="3299" ht="16.5" customHeight="1" x14ac:dyDescent="0.2"/>
    <row r="3300" ht="16.5" customHeight="1" x14ac:dyDescent="0.2"/>
    <row r="3301" ht="16.5" customHeight="1" x14ac:dyDescent="0.2"/>
    <row r="3302" ht="16.5" customHeight="1" x14ac:dyDescent="0.2"/>
    <row r="3303" ht="16.5" customHeight="1" x14ac:dyDescent="0.2"/>
    <row r="3304" ht="16.5" customHeight="1" x14ac:dyDescent="0.2"/>
    <row r="3305" ht="16.5" customHeight="1" x14ac:dyDescent="0.2"/>
    <row r="3306" ht="16.5" customHeight="1" x14ac:dyDescent="0.2"/>
    <row r="3307" ht="16.5" customHeight="1" x14ac:dyDescent="0.2"/>
    <row r="3308" ht="16.5" customHeight="1" x14ac:dyDescent="0.2"/>
    <row r="3309" ht="16.5" customHeight="1" x14ac:dyDescent="0.2"/>
    <row r="3310" ht="16.5" customHeight="1" x14ac:dyDescent="0.2"/>
    <row r="3311" ht="16.5" customHeight="1" x14ac:dyDescent="0.2"/>
    <row r="3312" ht="16.5" customHeight="1" x14ac:dyDescent="0.2"/>
    <row r="3313" ht="16.5" customHeight="1" x14ac:dyDescent="0.2"/>
    <row r="3314" ht="16.5" customHeight="1" x14ac:dyDescent="0.2"/>
    <row r="3315" ht="16.5" customHeight="1" x14ac:dyDescent="0.2"/>
    <row r="3316" ht="16.5" customHeight="1" x14ac:dyDescent="0.2"/>
    <row r="3317" ht="16.5" customHeight="1" x14ac:dyDescent="0.2"/>
    <row r="3318" ht="16.5" customHeight="1" x14ac:dyDescent="0.2"/>
    <row r="3319" ht="16.5" customHeight="1" x14ac:dyDescent="0.2"/>
    <row r="3320" ht="16.5" customHeight="1" x14ac:dyDescent="0.2"/>
    <row r="3321" ht="16.5" customHeight="1" x14ac:dyDescent="0.2"/>
    <row r="3322" ht="16.5" customHeight="1" x14ac:dyDescent="0.2"/>
    <row r="3323" ht="16.5" customHeight="1" x14ac:dyDescent="0.2"/>
    <row r="3324" ht="16.5" customHeight="1" x14ac:dyDescent="0.2"/>
    <row r="3325" ht="16.5" customHeight="1" x14ac:dyDescent="0.2"/>
    <row r="3326" ht="16.5" customHeight="1" x14ac:dyDescent="0.2"/>
    <row r="3327" ht="16.5" customHeight="1" x14ac:dyDescent="0.2"/>
    <row r="3328" ht="16.5" customHeight="1" x14ac:dyDescent="0.2"/>
    <row r="3329" ht="16.5" customHeight="1" x14ac:dyDescent="0.2"/>
    <row r="3330" ht="16.5" customHeight="1" x14ac:dyDescent="0.2"/>
    <row r="3331" ht="16.5" customHeight="1" x14ac:dyDescent="0.2"/>
    <row r="3332" ht="16.5" customHeight="1" x14ac:dyDescent="0.2"/>
    <row r="3333" ht="16.5" customHeight="1" x14ac:dyDescent="0.2"/>
    <row r="3334" ht="16.5" customHeight="1" x14ac:dyDescent="0.2"/>
    <row r="3335" ht="16.5" customHeight="1" x14ac:dyDescent="0.2"/>
    <row r="3336" ht="16.5" customHeight="1" x14ac:dyDescent="0.2"/>
    <row r="3337" ht="16.5" customHeight="1" x14ac:dyDescent="0.2"/>
    <row r="3338" ht="16.5" customHeight="1" x14ac:dyDescent="0.2"/>
    <row r="3339" ht="16.5" customHeight="1" x14ac:dyDescent="0.2"/>
    <row r="3340" ht="16.5" customHeight="1" x14ac:dyDescent="0.2"/>
    <row r="3341" ht="16.5" customHeight="1" x14ac:dyDescent="0.2"/>
    <row r="3342" ht="16.5" customHeight="1" x14ac:dyDescent="0.2"/>
    <row r="3343" ht="16.5" customHeight="1" x14ac:dyDescent="0.2"/>
    <row r="3344" ht="16.5" customHeight="1" x14ac:dyDescent="0.2"/>
    <row r="3345" ht="16.5" customHeight="1" x14ac:dyDescent="0.2"/>
    <row r="3346" ht="16.5" customHeight="1" x14ac:dyDescent="0.2"/>
    <row r="3347" ht="16.5" customHeight="1" x14ac:dyDescent="0.2"/>
    <row r="3348" ht="16.5" customHeight="1" x14ac:dyDescent="0.2"/>
    <row r="3349" ht="16.5" customHeight="1" x14ac:dyDescent="0.2"/>
    <row r="3350" ht="16.5" customHeight="1" x14ac:dyDescent="0.2"/>
    <row r="3351" ht="16.5" customHeight="1" x14ac:dyDescent="0.2"/>
    <row r="3352" ht="16.5" customHeight="1" x14ac:dyDescent="0.2"/>
    <row r="3353" ht="16.5" customHeight="1" x14ac:dyDescent="0.2"/>
    <row r="3354" ht="16.5" customHeight="1" x14ac:dyDescent="0.2"/>
    <row r="3355" ht="16.5" customHeight="1" x14ac:dyDescent="0.2"/>
    <row r="3356" ht="16.5" customHeight="1" x14ac:dyDescent="0.2"/>
    <row r="3357" ht="16.5" customHeight="1" x14ac:dyDescent="0.2"/>
    <row r="3358" ht="16.5" customHeight="1" x14ac:dyDescent="0.2"/>
    <row r="3359" ht="16.5" customHeight="1" x14ac:dyDescent="0.2"/>
    <row r="3360" ht="16.5" customHeight="1" x14ac:dyDescent="0.2"/>
    <row r="3361" ht="16.5" customHeight="1" x14ac:dyDescent="0.2"/>
    <row r="3362" ht="16.5" customHeight="1" x14ac:dyDescent="0.2"/>
    <row r="3363" ht="16.5" customHeight="1" x14ac:dyDescent="0.2"/>
    <row r="3364" ht="16.5" customHeight="1" x14ac:dyDescent="0.2"/>
    <row r="3365" ht="16.5" customHeight="1" x14ac:dyDescent="0.2"/>
    <row r="3366" ht="16.5" customHeight="1" x14ac:dyDescent="0.2"/>
    <row r="3367" ht="16.5" customHeight="1" x14ac:dyDescent="0.2"/>
    <row r="3368" ht="16.5" customHeight="1" x14ac:dyDescent="0.2"/>
    <row r="3369" ht="16.5" customHeight="1" x14ac:dyDescent="0.2"/>
    <row r="3370" ht="16.5" customHeight="1" x14ac:dyDescent="0.2"/>
    <row r="3371" ht="16.5" customHeight="1" x14ac:dyDescent="0.2"/>
    <row r="3372" ht="16.5" customHeight="1" x14ac:dyDescent="0.2"/>
    <row r="3373" ht="16.5" customHeight="1" x14ac:dyDescent="0.2"/>
    <row r="3374" ht="16.5" customHeight="1" x14ac:dyDescent="0.2"/>
    <row r="3375" ht="16.5" customHeight="1" x14ac:dyDescent="0.2"/>
    <row r="3376" ht="16.5" customHeight="1" x14ac:dyDescent="0.2"/>
    <row r="3377" ht="16.5" customHeight="1" x14ac:dyDescent="0.2"/>
    <row r="3378" ht="16.5" customHeight="1" x14ac:dyDescent="0.2"/>
    <row r="3379" ht="16.5" customHeight="1" x14ac:dyDescent="0.2"/>
    <row r="3380" ht="16.5" customHeight="1" x14ac:dyDescent="0.2"/>
    <row r="3381" ht="16.5" customHeight="1" x14ac:dyDescent="0.2"/>
    <row r="3382" ht="16.5" customHeight="1" x14ac:dyDescent="0.2"/>
    <row r="3383" ht="16.5" customHeight="1" x14ac:dyDescent="0.2"/>
    <row r="3384" ht="16.5" customHeight="1" x14ac:dyDescent="0.2"/>
    <row r="3385" ht="16.5" customHeight="1" x14ac:dyDescent="0.2"/>
    <row r="3386" ht="16.5" customHeight="1" x14ac:dyDescent="0.2"/>
    <row r="3387" ht="16.5" customHeight="1" x14ac:dyDescent="0.2"/>
    <row r="3388" ht="16.5" customHeight="1" x14ac:dyDescent="0.2"/>
    <row r="3389" ht="16.5" customHeight="1" x14ac:dyDescent="0.2"/>
    <row r="3390" ht="16.5" customHeight="1" x14ac:dyDescent="0.2"/>
    <row r="3391" ht="16.5" customHeight="1" x14ac:dyDescent="0.2"/>
    <row r="3392" ht="16.5" customHeight="1" x14ac:dyDescent="0.2"/>
    <row r="3393" ht="16.5" customHeight="1" x14ac:dyDescent="0.2"/>
    <row r="3394" ht="16.5" customHeight="1" x14ac:dyDescent="0.2"/>
    <row r="3395" ht="16.5" customHeight="1" x14ac:dyDescent="0.2"/>
    <row r="3396" ht="16.5" customHeight="1" x14ac:dyDescent="0.2"/>
    <row r="3397" ht="16.5" customHeight="1" x14ac:dyDescent="0.2"/>
    <row r="3398" ht="16.5" customHeight="1" x14ac:dyDescent="0.2"/>
    <row r="3399" ht="16.5" customHeight="1" x14ac:dyDescent="0.2"/>
    <row r="3400" ht="16.5" customHeight="1" x14ac:dyDescent="0.2"/>
    <row r="3401" ht="16.5" customHeight="1" x14ac:dyDescent="0.2"/>
    <row r="3402" ht="16.5" customHeight="1" x14ac:dyDescent="0.2"/>
    <row r="3403" ht="16.5" customHeight="1" x14ac:dyDescent="0.2"/>
    <row r="3404" ht="16.5" customHeight="1" x14ac:dyDescent="0.2"/>
    <row r="3405" ht="16.5" customHeight="1" x14ac:dyDescent="0.2"/>
    <row r="3406" ht="16.5" customHeight="1" x14ac:dyDescent="0.2"/>
    <row r="3407" ht="16.5" customHeight="1" x14ac:dyDescent="0.2"/>
    <row r="3408" ht="16.5" customHeight="1" x14ac:dyDescent="0.2"/>
    <row r="3409" ht="16.5" customHeight="1" x14ac:dyDescent="0.2"/>
    <row r="3410" ht="16.5" customHeight="1" x14ac:dyDescent="0.2"/>
    <row r="3411" ht="16.5" customHeight="1" x14ac:dyDescent="0.2"/>
    <row r="3412" ht="16.5" customHeight="1" x14ac:dyDescent="0.2"/>
    <row r="3413" ht="16.5" customHeight="1" x14ac:dyDescent="0.2"/>
    <row r="3414" ht="16.5" customHeight="1" x14ac:dyDescent="0.2"/>
    <row r="3415" ht="16.5" customHeight="1" x14ac:dyDescent="0.2"/>
    <row r="3416" ht="16.5" customHeight="1" x14ac:dyDescent="0.2"/>
    <row r="3417" ht="16.5" customHeight="1" x14ac:dyDescent="0.2"/>
    <row r="3418" ht="16.5" customHeight="1" x14ac:dyDescent="0.2"/>
    <row r="3419" ht="16.5" customHeight="1" x14ac:dyDescent="0.2"/>
    <row r="3420" ht="16.5" customHeight="1" x14ac:dyDescent="0.2"/>
    <row r="3421" ht="16.5" customHeight="1" x14ac:dyDescent="0.2"/>
    <row r="3422" ht="16.5" customHeight="1" x14ac:dyDescent="0.2"/>
    <row r="3423" ht="16.5" customHeight="1" x14ac:dyDescent="0.2"/>
    <row r="3424" ht="16.5" customHeight="1" x14ac:dyDescent="0.2"/>
    <row r="3425" ht="16.5" customHeight="1" x14ac:dyDescent="0.2"/>
    <row r="3426" ht="16.5" customHeight="1" x14ac:dyDescent="0.2"/>
    <row r="3427" ht="16.5" customHeight="1" x14ac:dyDescent="0.2"/>
    <row r="3428" ht="16.5" customHeight="1" x14ac:dyDescent="0.2"/>
    <row r="3429" ht="16.5" customHeight="1" x14ac:dyDescent="0.2"/>
    <row r="3430" ht="16.5" customHeight="1" x14ac:dyDescent="0.2"/>
    <row r="3431" ht="16.5" customHeight="1" x14ac:dyDescent="0.2"/>
    <row r="3432" ht="16.5" customHeight="1" x14ac:dyDescent="0.2"/>
    <row r="3433" ht="16.5" customHeight="1" x14ac:dyDescent="0.2"/>
    <row r="3434" ht="16.5" customHeight="1" x14ac:dyDescent="0.2"/>
    <row r="3435" ht="16.5" customHeight="1" x14ac:dyDescent="0.2"/>
    <row r="3436" ht="16.5" customHeight="1" x14ac:dyDescent="0.2"/>
    <row r="3437" ht="16.5" customHeight="1" x14ac:dyDescent="0.2"/>
    <row r="3438" ht="16.5" customHeight="1" x14ac:dyDescent="0.2"/>
    <row r="3439" ht="16.5" customHeight="1" x14ac:dyDescent="0.2"/>
    <row r="3440" ht="16.5" customHeight="1" x14ac:dyDescent="0.2"/>
    <row r="3441" ht="16.5" customHeight="1" x14ac:dyDescent="0.2"/>
    <row r="3442" ht="16.5" customHeight="1" x14ac:dyDescent="0.2"/>
    <row r="3443" ht="16.5" customHeight="1" x14ac:dyDescent="0.2"/>
    <row r="3444" ht="16.5" customHeight="1" x14ac:dyDescent="0.2"/>
    <row r="3445" ht="16.5" customHeight="1" x14ac:dyDescent="0.2"/>
    <row r="3446" ht="16.5" customHeight="1" x14ac:dyDescent="0.2"/>
    <row r="3447" ht="16.5" customHeight="1" x14ac:dyDescent="0.2"/>
    <row r="3448" ht="16.5" customHeight="1" x14ac:dyDescent="0.2"/>
    <row r="3449" ht="16.5" customHeight="1" x14ac:dyDescent="0.2"/>
    <row r="3450" ht="16.5" customHeight="1" x14ac:dyDescent="0.2"/>
    <row r="3451" ht="16.5" customHeight="1" x14ac:dyDescent="0.2"/>
    <row r="3452" ht="16.5" customHeight="1" x14ac:dyDescent="0.2"/>
    <row r="3453" ht="16.5" customHeight="1" x14ac:dyDescent="0.2"/>
    <row r="3454" ht="16.5" customHeight="1" x14ac:dyDescent="0.2"/>
    <row r="3455" ht="16.5" customHeight="1" x14ac:dyDescent="0.2"/>
    <row r="3456" ht="16.5" customHeight="1" x14ac:dyDescent="0.2"/>
    <row r="3457" ht="16.5" customHeight="1" x14ac:dyDescent="0.2"/>
    <row r="3458" ht="16.5" customHeight="1" x14ac:dyDescent="0.2"/>
    <row r="3459" ht="16.5" customHeight="1" x14ac:dyDescent="0.2"/>
    <row r="3460" ht="16.5" customHeight="1" x14ac:dyDescent="0.2"/>
    <row r="3461" ht="16.5" customHeight="1" x14ac:dyDescent="0.2"/>
    <row r="3462" ht="16.5" customHeight="1" x14ac:dyDescent="0.2"/>
    <row r="3463" ht="16.5" customHeight="1" x14ac:dyDescent="0.2"/>
    <row r="3464" ht="16.5" customHeight="1" x14ac:dyDescent="0.2"/>
    <row r="3465" ht="16.5" customHeight="1" x14ac:dyDescent="0.2"/>
    <row r="3466" ht="16.5" customHeight="1" x14ac:dyDescent="0.2"/>
    <row r="3467" ht="16.5" customHeight="1" x14ac:dyDescent="0.2"/>
    <row r="3468" ht="16.5" customHeight="1" x14ac:dyDescent="0.2"/>
    <row r="3469" ht="16.5" customHeight="1" x14ac:dyDescent="0.2"/>
    <row r="3470" ht="16.5" customHeight="1" x14ac:dyDescent="0.2"/>
    <row r="3471" ht="16.5" customHeight="1" x14ac:dyDescent="0.2"/>
    <row r="3472" ht="16.5" customHeight="1" x14ac:dyDescent="0.2"/>
    <row r="3473" ht="16.5" customHeight="1" x14ac:dyDescent="0.2"/>
    <row r="3474" ht="16.5" customHeight="1" x14ac:dyDescent="0.2"/>
    <row r="3475" ht="16.5" customHeight="1" x14ac:dyDescent="0.2"/>
    <row r="3476" ht="16.5" customHeight="1" x14ac:dyDescent="0.2"/>
    <row r="3477" ht="16.5" customHeight="1" x14ac:dyDescent="0.2"/>
    <row r="3478" ht="16.5" customHeight="1" x14ac:dyDescent="0.2"/>
    <row r="3479" ht="16.5" customHeight="1" x14ac:dyDescent="0.2"/>
    <row r="3480" ht="16.5" customHeight="1" x14ac:dyDescent="0.2"/>
    <row r="3481" ht="16.5" customHeight="1" x14ac:dyDescent="0.2"/>
    <row r="3482" ht="16.5" customHeight="1" x14ac:dyDescent="0.2"/>
    <row r="3483" ht="16.5" customHeight="1" x14ac:dyDescent="0.2"/>
    <row r="3484" ht="16.5" customHeight="1" x14ac:dyDescent="0.2"/>
    <row r="3485" ht="16.5" customHeight="1" x14ac:dyDescent="0.2"/>
    <row r="3486" ht="16.5" customHeight="1" x14ac:dyDescent="0.2"/>
    <row r="3487" ht="16.5" customHeight="1" x14ac:dyDescent="0.2"/>
    <row r="3488" ht="16.5" customHeight="1" x14ac:dyDescent="0.2"/>
    <row r="3489" ht="16.5" customHeight="1" x14ac:dyDescent="0.2"/>
    <row r="3490" ht="16.5" customHeight="1" x14ac:dyDescent="0.2"/>
    <row r="3491" ht="16.5" customHeight="1" x14ac:dyDescent="0.2"/>
    <row r="3492" ht="16.5" customHeight="1" x14ac:dyDescent="0.2"/>
    <row r="3493" ht="16.5" customHeight="1" x14ac:dyDescent="0.2"/>
    <row r="3494" ht="16.5" customHeight="1" x14ac:dyDescent="0.2"/>
    <row r="3495" ht="16.5" customHeight="1" x14ac:dyDescent="0.2"/>
    <row r="3496" ht="16.5" customHeight="1" x14ac:dyDescent="0.2"/>
    <row r="3497" ht="16.5" customHeight="1" x14ac:dyDescent="0.2"/>
    <row r="3498" ht="16.5" customHeight="1" x14ac:dyDescent="0.2"/>
    <row r="3499" ht="16.5" customHeight="1" x14ac:dyDescent="0.2"/>
    <row r="3500" ht="16.5" customHeight="1" x14ac:dyDescent="0.2"/>
    <row r="3501" ht="16.5" customHeight="1" x14ac:dyDescent="0.2"/>
    <row r="3502" ht="16.5" customHeight="1" x14ac:dyDescent="0.2"/>
    <row r="3503" ht="16.5" customHeight="1" x14ac:dyDescent="0.2"/>
    <row r="3504" ht="16.5" customHeight="1" x14ac:dyDescent="0.2"/>
    <row r="3505" ht="16.5" customHeight="1" x14ac:dyDescent="0.2"/>
    <row r="3506" ht="16.5" customHeight="1" x14ac:dyDescent="0.2"/>
    <row r="3507" ht="16.5" customHeight="1" x14ac:dyDescent="0.2"/>
    <row r="3508" ht="16.5" customHeight="1" x14ac:dyDescent="0.2"/>
    <row r="3509" ht="16.5" customHeight="1" x14ac:dyDescent="0.2"/>
    <row r="3510" ht="16.5" customHeight="1" x14ac:dyDescent="0.2"/>
    <row r="3511" ht="16.5" customHeight="1" x14ac:dyDescent="0.2"/>
    <row r="3512" ht="16.5" customHeight="1" x14ac:dyDescent="0.2"/>
    <row r="3513" ht="16.5" customHeight="1" x14ac:dyDescent="0.2"/>
    <row r="3514" ht="16.5" customHeight="1" x14ac:dyDescent="0.2"/>
    <row r="3515" ht="16.5" customHeight="1" x14ac:dyDescent="0.2"/>
    <row r="3516" ht="16.5" customHeight="1" x14ac:dyDescent="0.2"/>
    <row r="3517" ht="16.5" customHeight="1" x14ac:dyDescent="0.2"/>
    <row r="3518" ht="16.5" customHeight="1" x14ac:dyDescent="0.2"/>
    <row r="3519" ht="16.5" customHeight="1" x14ac:dyDescent="0.2"/>
    <row r="3520" ht="16.5" customHeight="1" x14ac:dyDescent="0.2"/>
    <row r="3521" ht="16.5" customHeight="1" x14ac:dyDescent="0.2"/>
    <row r="3522" ht="16.5" customHeight="1" x14ac:dyDescent="0.2"/>
    <row r="3523" ht="16.5" customHeight="1" x14ac:dyDescent="0.2"/>
    <row r="3524" ht="16.5" customHeight="1" x14ac:dyDescent="0.2"/>
    <row r="3525" ht="16.5" customHeight="1" x14ac:dyDescent="0.2"/>
    <row r="3526" ht="16.5" customHeight="1" x14ac:dyDescent="0.2"/>
    <row r="3527" ht="16.5" customHeight="1" x14ac:dyDescent="0.2"/>
    <row r="3528" ht="16.5" customHeight="1" x14ac:dyDescent="0.2"/>
    <row r="3529" ht="16.5" customHeight="1" x14ac:dyDescent="0.2"/>
    <row r="3530" ht="16.5" customHeight="1" x14ac:dyDescent="0.2"/>
    <row r="3531" ht="16.5" customHeight="1" x14ac:dyDescent="0.2"/>
    <row r="3532" ht="16.5" customHeight="1" x14ac:dyDescent="0.2"/>
    <row r="3533" ht="16.5" customHeight="1" x14ac:dyDescent="0.2"/>
    <row r="3534" ht="16.5" customHeight="1" x14ac:dyDescent="0.2"/>
    <row r="3535" ht="16.5" customHeight="1" x14ac:dyDescent="0.2"/>
    <row r="3536" ht="16.5" customHeight="1" x14ac:dyDescent="0.2"/>
    <row r="3537" ht="16.5" customHeight="1" x14ac:dyDescent="0.2"/>
    <row r="3538" ht="16.5" customHeight="1" x14ac:dyDescent="0.2"/>
    <row r="3539" ht="16.5" customHeight="1" x14ac:dyDescent="0.2"/>
    <row r="3540" ht="16.5" customHeight="1" x14ac:dyDescent="0.2"/>
    <row r="3541" ht="16.5" customHeight="1" x14ac:dyDescent="0.2"/>
    <row r="3542" ht="16.5" customHeight="1" x14ac:dyDescent="0.2"/>
    <row r="3543" ht="16.5" customHeight="1" x14ac:dyDescent="0.2"/>
    <row r="3544" ht="16.5" customHeight="1" x14ac:dyDescent="0.2"/>
    <row r="3545" ht="16.5" customHeight="1" x14ac:dyDescent="0.2"/>
    <row r="3546" ht="16.5" customHeight="1" x14ac:dyDescent="0.2"/>
    <row r="3547" ht="16.5" customHeight="1" x14ac:dyDescent="0.2"/>
    <row r="3548" ht="16.5" customHeight="1" x14ac:dyDescent="0.2"/>
    <row r="3549" ht="16.5" customHeight="1" x14ac:dyDescent="0.2"/>
    <row r="3550" ht="16.5" customHeight="1" x14ac:dyDescent="0.2"/>
    <row r="3551" ht="16.5" customHeight="1" x14ac:dyDescent="0.2"/>
    <row r="3552" ht="16.5" customHeight="1" x14ac:dyDescent="0.2"/>
    <row r="3553" ht="16.5" customHeight="1" x14ac:dyDescent="0.2"/>
    <row r="3554" ht="16.5" customHeight="1" x14ac:dyDescent="0.2"/>
    <row r="3555" ht="16.5" customHeight="1" x14ac:dyDescent="0.2"/>
    <row r="3556" ht="16.5" customHeight="1" x14ac:dyDescent="0.2"/>
    <row r="3557" ht="16.5" customHeight="1" x14ac:dyDescent="0.2"/>
    <row r="3558" ht="16.5" customHeight="1" x14ac:dyDescent="0.2"/>
    <row r="3559" ht="16.5" customHeight="1" x14ac:dyDescent="0.2"/>
    <row r="3560" ht="16.5" customHeight="1" x14ac:dyDescent="0.2"/>
    <row r="3561" ht="16.5" customHeight="1" x14ac:dyDescent="0.2"/>
    <row r="3562" ht="16.5" customHeight="1" x14ac:dyDescent="0.2"/>
    <row r="3563" ht="16.5" customHeight="1" x14ac:dyDescent="0.2"/>
    <row r="3564" ht="16.5" customHeight="1" x14ac:dyDescent="0.2"/>
    <row r="3565" ht="16.5" customHeight="1" x14ac:dyDescent="0.2"/>
    <row r="3566" ht="16.5" customHeight="1" x14ac:dyDescent="0.2"/>
    <row r="3567" ht="16.5" customHeight="1" x14ac:dyDescent="0.2"/>
    <row r="3568" ht="16.5" customHeight="1" x14ac:dyDescent="0.2"/>
    <row r="3569" ht="16.5" customHeight="1" x14ac:dyDescent="0.2"/>
    <row r="3570" ht="16.5" customHeight="1" x14ac:dyDescent="0.2"/>
    <row r="3571" ht="16.5" customHeight="1" x14ac:dyDescent="0.2"/>
    <row r="3572" ht="16.5" customHeight="1" x14ac:dyDescent="0.2"/>
    <row r="3573" ht="16.5" customHeight="1" x14ac:dyDescent="0.2"/>
    <row r="3574" ht="16.5" customHeight="1" x14ac:dyDescent="0.2"/>
    <row r="3575" ht="16.5" customHeight="1" x14ac:dyDescent="0.2"/>
    <row r="3576" ht="16.5" customHeight="1" x14ac:dyDescent="0.2"/>
    <row r="3577" ht="16.5" customHeight="1" x14ac:dyDescent="0.2"/>
    <row r="3578" ht="16.5" customHeight="1" x14ac:dyDescent="0.2"/>
    <row r="3579" ht="16.5" customHeight="1" x14ac:dyDescent="0.2"/>
    <row r="3580" ht="16.5" customHeight="1" x14ac:dyDescent="0.2"/>
    <row r="3581" ht="16.5" customHeight="1" x14ac:dyDescent="0.2"/>
    <row r="3582" ht="16.5" customHeight="1" x14ac:dyDescent="0.2"/>
    <row r="3583" ht="16.5" customHeight="1" x14ac:dyDescent="0.2"/>
    <row r="3584" ht="16.5" customHeight="1" x14ac:dyDescent="0.2"/>
    <row r="3585" ht="16.5" customHeight="1" x14ac:dyDescent="0.2"/>
    <row r="3586" ht="16.5" customHeight="1" x14ac:dyDescent="0.2"/>
    <row r="3587" ht="16.5" customHeight="1" x14ac:dyDescent="0.2"/>
    <row r="3588" ht="16.5" customHeight="1" x14ac:dyDescent="0.2"/>
    <row r="3589" ht="16.5" customHeight="1" x14ac:dyDescent="0.2"/>
    <row r="3590" ht="16.5" customHeight="1" x14ac:dyDescent="0.2"/>
    <row r="3591" ht="16.5" customHeight="1" x14ac:dyDescent="0.2"/>
    <row r="3592" ht="16.5" customHeight="1" x14ac:dyDescent="0.2"/>
    <row r="3593" ht="16.5" customHeight="1" x14ac:dyDescent="0.2"/>
    <row r="3594" ht="16.5" customHeight="1" x14ac:dyDescent="0.2"/>
    <row r="3595" ht="16.5" customHeight="1" x14ac:dyDescent="0.2"/>
    <row r="3596" ht="16.5" customHeight="1" x14ac:dyDescent="0.2"/>
    <row r="3597" ht="16.5" customHeight="1" x14ac:dyDescent="0.2"/>
    <row r="3598" ht="16.5" customHeight="1" x14ac:dyDescent="0.2"/>
    <row r="3599" ht="16.5" customHeight="1" x14ac:dyDescent="0.2"/>
    <row r="3600" ht="16.5" customHeight="1" x14ac:dyDescent="0.2"/>
    <row r="3601" ht="16.5" customHeight="1" x14ac:dyDescent="0.2"/>
    <row r="3602" ht="16.5" customHeight="1" x14ac:dyDescent="0.2"/>
    <row r="3603" ht="16.5" customHeight="1" x14ac:dyDescent="0.2"/>
    <row r="3604" ht="16.5" customHeight="1" x14ac:dyDescent="0.2"/>
    <row r="3605" ht="16.5" customHeight="1" x14ac:dyDescent="0.2"/>
    <row r="3606" ht="16.5" customHeight="1" x14ac:dyDescent="0.2"/>
    <row r="3607" ht="16.5" customHeight="1" x14ac:dyDescent="0.2"/>
    <row r="3608" ht="16.5" customHeight="1" x14ac:dyDescent="0.2"/>
    <row r="3609" ht="16.5" customHeight="1" x14ac:dyDescent="0.2"/>
    <row r="3610" ht="16.5" customHeight="1" x14ac:dyDescent="0.2"/>
    <row r="3611" ht="16.5" customHeight="1" x14ac:dyDescent="0.2"/>
    <row r="3612" ht="16.5" customHeight="1" x14ac:dyDescent="0.2"/>
    <row r="3613" ht="16.5" customHeight="1" x14ac:dyDescent="0.2"/>
    <row r="3614" ht="16.5" customHeight="1" x14ac:dyDescent="0.2"/>
    <row r="3615" ht="16.5" customHeight="1" x14ac:dyDescent="0.2"/>
    <row r="3616" ht="16.5" customHeight="1" x14ac:dyDescent="0.2"/>
    <row r="3617" ht="16.5" customHeight="1" x14ac:dyDescent="0.2"/>
    <row r="3618" ht="16.5" customHeight="1" x14ac:dyDescent="0.2"/>
    <row r="3619" ht="16.5" customHeight="1" x14ac:dyDescent="0.2"/>
    <row r="3620" ht="16.5" customHeight="1" x14ac:dyDescent="0.2"/>
    <row r="3621" ht="16.5" customHeight="1" x14ac:dyDescent="0.2"/>
    <row r="3622" ht="16.5" customHeight="1" x14ac:dyDescent="0.2"/>
    <row r="3623" ht="16.5" customHeight="1" x14ac:dyDescent="0.2"/>
    <row r="3624" ht="16.5" customHeight="1" x14ac:dyDescent="0.2"/>
    <row r="3625" ht="16.5" customHeight="1" x14ac:dyDescent="0.2"/>
    <row r="3626" ht="16.5" customHeight="1" x14ac:dyDescent="0.2"/>
    <row r="3627" ht="16.5" customHeight="1" x14ac:dyDescent="0.2"/>
    <row r="3628" ht="16.5" customHeight="1" x14ac:dyDescent="0.2"/>
    <row r="3629" ht="16.5" customHeight="1" x14ac:dyDescent="0.2"/>
    <row r="3630" ht="16.5" customHeight="1" x14ac:dyDescent="0.2"/>
    <row r="3631" ht="16.5" customHeight="1" x14ac:dyDescent="0.2"/>
    <row r="3632" ht="16.5" customHeight="1" x14ac:dyDescent="0.2"/>
    <row r="3633" ht="16.5" customHeight="1" x14ac:dyDescent="0.2"/>
    <row r="3634" ht="16.5" customHeight="1" x14ac:dyDescent="0.2"/>
    <row r="3635" ht="16.5" customHeight="1" x14ac:dyDescent="0.2"/>
    <row r="3636" ht="16.5" customHeight="1" x14ac:dyDescent="0.2"/>
    <row r="3637" ht="16.5" customHeight="1" x14ac:dyDescent="0.2"/>
    <row r="3638" ht="16.5" customHeight="1" x14ac:dyDescent="0.2"/>
    <row r="3639" ht="16.5" customHeight="1" x14ac:dyDescent="0.2"/>
    <row r="3640" ht="16.5" customHeight="1" x14ac:dyDescent="0.2"/>
    <row r="3641" ht="16.5" customHeight="1" x14ac:dyDescent="0.2"/>
    <row r="3642" ht="16.5" customHeight="1" x14ac:dyDescent="0.2"/>
    <row r="3643" ht="16.5" customHeight="1" x14ac:dyDescent="0.2"/>
    <row r="3644" ht="16.5" customHeight="1" x14ac:dyDescent="0.2"/>
    <row r="3645" ht="16.5" customHeight="1" x14ac:dyDescent="0.2"/>
    <row r="3646" ht="16.5" customHeight="1" x14ac:dyDescent="0.2"/>
    <row r="3647" ht="16.5" customHeight="1" x14ac:dyDescent="0.2"/>
    <row r="3648" ht="16.5" customHeight="1" x14ac:dyDescent="0.2"/>
    <row r="3649" ht="16.5" customHeight="1" x14ac:dyDescent="0.2"/>
    <row r="3650" ht="16.5" customHeight="1" x14ac:dyDescent="0.2"/>
    <row r="3651" ht="16.5" customHeight="1" x14ac:dyDescent="0.2"/>
    <row r="3652" ht="16.5" customHeight="1" x14ac:dyDescent="0.2"/>
    <row r="3653" ht="16.5" customHeight="1" x14ac:dyDescent="0.2"/>
    <row r="3654" ht="16.5" customHeight="1" x14ac:dyDescent="0.2"/>
    <row r="3655" ht="16.5" customHeight="1" x14ac:dyDescent="0.2"/>
    <row r="3656" ht="16.5" customHeight="1" x14ac:dyDescent="0.2"/>
    <row r="3657" ht="16.5" customHeight="1" x14ac:dyDescent="0.2"/>
    <row r="3658" ht="16.5" customHeight="1" x14ac:dyDescent="0.2"/>
    <row r="3659" ht="16.5" customHeight="1" x14ac:dyDescent="0.2"/>
    <row r="3660" ht="16.5" customHeight="1" x14ac:dyDescent="0.2"/>
    <row r="3661" ht="16.5" customHeight="1" x14ac:dyDescent="0.2"/>
    <row r="3662" ht="16.5" customHeight="1" x14ac:dyDescent="0.2"/>
    <row r="3663" ht="16.5" customHeight="1" x14ac:dyDescent="0.2"/>
    <row r="3664" ht="16.5" customHeight="1" x14ac:dyDescent="0.2"/>
    <row r="3665" ht="16.5" customHeight="1" x14ac:dyDescent="0.2"/>
    <row r="3666" ht="16.5" customHeight="1" x14ac:dyDescent="0.2"/>
    <row r="3667" ht="16.5" customHeight="1" x14ac:dyDescent="0.2"/>
    <row r="3668" ht="16.5" customHeight="1" x14ac:dyDescent="0.2"/>
    <row r="3669" ht="16.5" customHeight="1" x14ac:dyDescent="0.2"/>
    <row r="3670" ht="16.5" customHeight="1" x14ac:dyDescent="0.2"/>
    <row r="3671" ht="16.5" customHeight="1" x14ac:dyDescent="0.2"/>
    <row r="3672" ht="16.5" customHeight="1" x14ac:dyDescent="0.2"/>
    <row r="3673" ht="16.5" customHeight="1" x14ac:dyDescent="0.2"/>
    <row r="3674" ht="16.5" customHeight="1" x14ac:dyDescent="0.2"/>
    <row r="3675" ht="16.5" customHeight="1" x14ac:dyDescent="0.2"/>
    <row r="3676" ht="16.5" customHeight="1" x14ac:dyDescent="0.2"/>
    <row r="3677" ht="16.5" customHeight="1" x14ac:dyDescent="0.2"/>
    <row r="3678" ht="16.5" customHeight="1" x14ac:dyDescent="0.2"/>
    <row r="3679" ht="16.5" customHeight="1" x14ac:dyDescent="0.2"/>
    <row r="3680" ht="16.5" customHeight="1" x14ac:dyDescent="0.2"/>
    <row r="3681" ht="16.5" customHeight="1" x14ac:dyDescent="0.2"/>
    <row r="3682" ht="16.5" customHeight="1" x14ac:dyDescent="0.2"/>
    <row r="3683" ht="16.5" customHeight="1" x14ac:dyDescent="0.2"/>
    <row r="3684" ht="16.5" customHeight="1" x14ac:dyDescent="0.2"/>
    <row r="3685" ht="16.5" customHeight="1" x14ac:dyDescent="0.2"/>
    <row r="3686" ht="16.5" customHeight="1" x14ac:dyDescent="0.2"/>
    <row r="3687" ht="16.5" customHeight="1" x14ac:dyDescent="0.2"/>
    <row r="3688" ht="16.5" customHeight="1" x14ac:dyDescent="0.2"/>
    <row r="3689" ht="16.5" customHeight="1" x14ac:dyDescent="0.2"/>
    <row r="3690" ht="16.5" customHeight="1" x14ac:dyDescent="0.2"/>
    <row r="3691" ht="16.5" customHeight="1" x14ac:dyDescent="0.2"/>
    <row r="3692" ht="16.5" customHeight="1" x14ac:dyDescent="0.2"/>
    <row r="3693" ht="16.5" customHeight="1" x14ac:dyDescent="0.2"/>
    <row r="3694" ht="16.5" customHeight="1" x14ac:dyDescent="0.2"/>
    <row r="3695" ht="16.5" customHeight="1" x14ac:dyDescent="0.2"/>
    <row r="3696" ht="16.5" customHeight="1" x14ac:dyDescent="0.2"/>
    <row r="3697" ht="16.5" customHeight="1" x14ac:dyDescent="0.2"/>
    <row r="3698" ht="16.5" customHeight="1" x14ac:dyDescent="0.2"/>
    <row r="3699" ht="16.5" customHeight="1" x14ac:dyDescent="0.2"/>
    <row r="3700" ht="16.5" customHeight="1" x14ac:dyDescent="0.2"/>
    <row r="3701" ht="16.5" customHeight="1" x14ac:dyDescent="0.2"/>
    <row r="3702" ht="16.5" customHeight="1" x14ac:dyDescent="0.2"/>
    <row r="3703" ht="16.5" customHeight="1" x14ac:dyDescent="0.2"/>
    <row r="3704" ht="16.5" customHeight="1" x14ac:dyDescent="0.2"/>
    <row r="3705" ht="16.5" customHeight="1" x14ac:dyDescent="0.2"/>
    <row r="3706" ht="16.5" customHeight="1" x14ac:dyDescent="0.2"/>
    <row r="3707" ht="16.5" customHeight="1" x14ac:dyDescent="0.2"/>
    <row r="3708" ht="16.5" customHeight="1" x14ac:dyDescent="0.2"/>
    <row r="3709" ht="16.5" customHeight="1" x14ac:dyDescent="0.2"/>
    <row r="3710" ht="16.5" customHeight="1" x14ac:dyDescent="0.2"/>
    <row r="3711" ht="16.5" customHeight="1" x14ac:dyDescent="0.2"/>
    <row r="3712" ht="16.5" customHeight="1" x14ac:dyDescent="0.2"/>
    <row r="3713" ht="16.5" customHeight="1" x14ac:dyDescent="0.2"/>
    <row r="3714" ht="16.5" customHeight="1" x14ac:dyDescent="0.2"/>
    <row r="3715" ht="16.5" customHeight="1" x14ac:dyDescent="0.2"/>
    <row r="3716" ht="16.5" customHeight="1" x14ac:dyDescent="0.2"/>
    <row r="3717" ht="16.5" customHeight="1" x14ac:dyDescent="0.2"/>
    <row r="3718" ht="16.5" customHeight="1" x14ac:dyDescent="0.2"/>
    <row r="3719" ht="16.5" customHeight="1" x14ac:dyDescent="0.2"/>
    <row r="3720" ht="16.5" customHeight="1" x14ac:dyDescent="0.2"/>
    <row r="3721" ht="16.5" customHeight="1" x14ac:dyDescent="0.2"/>
    <row r="3722" ht="16.5" customHeight="1" x14ac:dyDescent="0.2"/>
    <row r="3723" ht="16.5" customHeight="1" x14ac:dyDescent="0.2"/>
    <row r="3724" ht="16.5" customHeight="1" x14ac:dyDescent="0.2"/>
    <row r="3725" ht="16.5" customHeight="1" x14ac:dyDescent="0.2"/>
    <row r="3726" ht="16.5" customHeight="1" x14ac:dyDescent="0.2"/>
    <row r="3727" ht="16.5" customHeight="1" x14ac:dyDescent="0.2"/>
    <row r="3728" ht="16.5" customHeight="1" x14ac:dyDescent="0.2"/>
    <row r="3729" ht="16.5" customHeight="1" x14ac:dyDescent="0.2"/>
    <row r="3730" ht="16.5" customHeight="1" x14ac:dyDescent="0.2"/>
    <row r="3731" ht="16.5" customHeight="1" x14ac:dyDescent="0.2"/>
    <row r="3732" ht="16.5" customHeight="1" x14ac:dyDescent="0.2"/>
    <row r="3733" ht="16.5" customHeight="1" x14ac:dyDescent="0.2"/>
    <row r="3734" ht="16.5" customHeight="1" x14ac:dyDescent="0.2"/>
    <row r="3735" ht="16.5" customHeight="1" x14ac:dyDescent="0.2"/>
    <row r="3736" ht="16.5" customHeight="1" x14ac:dyDescent="0.2"/>
    <row r="3737" ht="16.5" customHeight="1" x14ac:dyDescent="0.2"/>
    <row r="3738" ht="16.5" customHeight="1" x14ac:dyDescent="0.2"/>
    <row r="3739" ht="16.5" customHeight="1" x14ac:dyDescent="0.2"/>
    <row r="3740" ht="16.5" customHeight="1" x14ac:dyDescent="0.2"/>
    <row r="3741" ht="16.5" customHeight="1" x14ac:dyDescent="0.2"/>
    <row r="3742" ht="16.5" customHeight="1" x14ac:dyDescent="0.2"/>
    <row r="3743" ht="16.5" customHeight="1" x14ac:dyDescent="0.2"/>
    <row r="3744" ht="16.5" customHeight="1" x14ac:dyDescent="0.2"/>
    <row r="3745" ht="16.5" customHeight="1" x14ac:dyDescent="0.2"/>
    <row r="3746" ht="16.5" customHeight="1" x14ac:dyDescent="0.2"/>
    <row r="3747" ht="16.5" customHeight="1" x14ac:dyDescent="0.2"/>
    <row r="3748" ht="16.5" customHeight="1" x14ac:dyDescent="0.2"/>
    <row r="3749" ht="16.5" customHeight="1" x14ac:dyDescent="0.2"/>
    <row r="3750" ht="16.5" customHeight="1" x14ac:dyDescent="0.2"/>
    <row r="3751" ht="16.5" customHeight="1" x14ac:dyDescent="0.2"/>
    <row r="3752" ht="16.5" customHeight="1" x14ac:dyDescent="0.2"/>
    <row r="3753" ht="16.5" customHeight="1" x14ac:dyDescent="0.2"/>
    <row r="3754" ht="16.5" customHeight="1" x14ac:dyDescent="0.2"/>
    <row r="3755" ht="16.5" customHeight="1" x14ac:dyDescent="0.2"/>
    <row r="3756" ht="16.5" customHeight="1" x14ac:dyDescent="0.2"/>
    <row r="3757" ht="16.5" customHeight="1" x14ac:dyDescent="0.2"/>
    <row r="3758" ht="16.5" customHeight="1" x14ac:dyDescent="0.2"/>
    <row r="3759" ht="16.5" customHeight="1" x14ac:dyDescent="0.2"/>
    <row r="3760" ht="16.5" customHeight="1" x14ac:dyDescent="0.2"/>
    <row r="3761" ht="16.5" customHeight="1" x14ac:dyDescent="0.2"/>
    <row r="3762" ht="16.5" customHeight="1" x14ac:dyDescent="0.2"/>
    <row r="3763" ht="16.5" customHeight="1" x14ac:dyDescent="0.2"/>
    <row r="3764" ht="16.5" customHeight="1" x14ac:dyDescent="0.2"/>
    <row r="3765" ht="16.5" customHeight="1" x14ac:dyDescent="0.2"/>
    <row r="3766" ht="16.5" customHeight="1" x14ac:dyDescent="0.2"/>
    <row r="3767" ht="16.5" customHeight="1" x14ac:dyDescent="0.2"/>
    <row r="3768" ht="16.5" customHeight="1" x14ac:dyDescent="0.2"/>
    <row r="3769" ht="16.5" customHeight="1" x14ac:dyDescent="0.2"/>
    <row r="3770" ht="16.5" customHeight="1" x14ac:dyDescent="0.2"/>
    <row r="3771" ht="16.5" customHeight="1" x14ac:dyDescent="0.2"/>
    <row r="3772" ht="16.5" customHeight="1" x14ac:dyDescent="0.2"/>
    <row r="3773" ht="16.5" customHeight="1" x14ac:dyDescent="0.2"/>
    <row r="3774" ht="16.5" customHeight="1" x14ac:dyDescent="0.2"/>
    <row r="3775" ht="16.5" customHeight="1" x14ac:dyDescent="0.2"/>
    <row r="3776" ht="16.5" customHeight="1" x14ac:dyDescent="0.2"/>
    <row r="3777" ht="16.5" customHeight="1" x14ac:dyDescent="0.2"/>
    <row r="3778" ht="16.5" customHeight="1" x14ac:dyDescent="0.2"/>
    <row r="3779" ht="16.5" customHeight="1" x14ac:dyDescent="0.2"/>
    <row r="3780" ht="16.5" customHeight="1" x14ac:dyDescent="0.2"/>
    <row r="3781" ht="16.5" customHeight="1" x14ac:dyDescent="0.2"/>
    <row r="3782" ht="16.5" customHeight="1" x14ac:dyDescent="0.2"/>
    <row r="3783" ht="16.5" customHeight="1" x14ac:dyDescent="0.2"/>
    <row r="3784" ht="16.5" customHeight="1" x14ac:dyDescent="0.2"/>
    <row r="3785" ht="16.5" customHeight="1" x14ac:dyDescent="0.2"/>
    <row r="3786" ht="16.5" customHeight="1" x14ac:dyDescent="0.2"/>
    <row r="3787" ht="16.5" customHeight="1" x14ac:dyDescent="0.2"/>
    <row r="3788" ht="16.5" customHeight="1" x14ac:dyDescent="0.2"/>
    <row r="3789" ht="16.5" customHeight="1" x14ac:dyDescent="0.2"/>
    <row r="3790" ht="16.5" customHeight="1" x14ac:dyDescent="0.2"/>
    <row r="3791" ht="16.5" customHeight="1" x14ac:dyDescent="0.2"/>
    <row r="3792" ht="16.5" customHeight="1" x14ac:dyDescent="0.2"/>
    <row r="3793" ht="16.5" customHeight="1" x14ac:dyDescent="0.2"/>
    <row r="3794" ht="16.5" customHeight="1" x14ac:dyDescent="0.2"/>
    <row r="3795" ht="16.5" customHeight="1" x14ac:dyDescent="0.2"/>
    <row r="3796" ht="16.5" customHeight="1" x14ac:dyDescent="0.2"/>
    <row r="3797" ht="16.5" customHeight="1" x14ac:dyDescent="0.2"/>
    <row r="3798" ht="16.5" customHeight="1" x14ac:dyDescent="0.2"/>
    <row r="3799" ht="16.5" customHeight="1" x14ac:dyDescent="0.2"/>
    <row r="3800" ht="16.5" customHeight="1" x14ac:dyDescent="0.2"/>
    <row r="3801" ht="16.5" customHeight="1" x14ac:dyDescent="0.2"/>
    <row r="3802" ht="16.5" customHeight="1" x14ac:dyDescent="0.2"/>
    <row r="3803" ht="16.5" customHeight="1" x14ac:dyDescent="0.2"/>
    <row r="3804" ht="16.5" customHeight="1" x14ac:dyDescent="0.2"/>
    <row r="3805" ht="16.5" customHeight="1" x14ac:dyDescent="0.2"/>
    <row r="3806" ht="16.5" customHeight="1" x14ac:dyDescent="0.2"/>
    <row r="3807" ht="16.5" customHeight="1" x14ac:dyDescent="0.2"/>
    <row r="3808" ht="16.5" customHeight="1" x14ac:dyDescent="0.2"/>
    <row r="3809" ht="16.5" customHeight="1" x14ac:dyDescent="0.2"/>
    <row r="3810" ht="16.5" customHeight="1" x14ac:dyDescent="0.2"/>
    <row r="3811" ht="16.5" customHeight="1" x14ac:dyDescent="0.2"/>
    <row r="3812" ht="16.5" customHeight="1" x14ac:dyDescent="0.2"/>
    <row r="3813" ht="16.5" customHeight="1" x14ac:dyDescent="0.2"/>
    <row r="3814" ht="16.5" customHeight="1" x14ac:dyDescent="0.2"/>
    <row r="3815" ht="16.5" customHeight="1" x14ac:dyDescent="0.2"/>
    <row r="3816" ht="16.5" customHeight="1" x14ac:dyDescent="0.2"/>
    <row r="3817" ht="16.5" customHeight="1" x14ac:dyDescent="0.2"/>
    <row r="3818" ht="16.5" customHeight="1" x14ac:dyDescent="0.2"/>
    <row r="3819" ht="16.5" customHeight="1" x14ac:dyDescent="0.2"/>
    <row r="3820" ht="16.5" customHeight="1" x14ac:dyDescent="0.2"/>
    <row r="3821" ht="16.5" customHeight="1" x14ac:dyDescent="0.2"/>
    <row r="3822" ht="16.5" customHeight="1" x14ac:dyDescent="0.2"/>
    <row r="3823" ht="16.5" customHeight="1" x14ac:dyDescent="0.2"/>
    <row r="3824" ht="16.5" customHeight="1" x14ac:dyDescent="0.2"/>
    <row r="3825" ht="16.5" customHeight="1" x14ac:dyDescent="0.2"/>
    <row r="3826" ht="16.5" customHeight="1" x14ac:dyDescent="0.2"/>
    <row r="3827" ht="16.5" customHeight="1" x14ac:dyDescent="0.2"/>
    <row r="3828" ht="16.5" customHeight="1" x14ac:dyDescent="0.2"/>
    <row r="3829" ht="16.5" customHeight="1" x14ac:dyDescent="0.2"/>
    <row r="3830" ht="16.5" customHeight="1" x14ac:dyDescent="0.2"/>
    <row r="3831" ht="16.5" customHeight="1" x14ac:dyDescent="0.2"/>
    <row r="3832" ht="16.5" customHeight="1" x14ac:dyDescent="0.2"/>
    <row r="3833" ht="16.5" customHeight="1" x14ac:dyDescent="0.2"/>
    <row r="3834" ht="16.5" customHeight="1" x14ac:dyDescent="0.2"/>
    <row r="3835" ht="16.5" customHeight="1" x14ac:dyDescent="0.2"/>
    <row r="3836" ht="16.5" customHeight="1" x14ac:dyDescent="0.2"/>
    <row r="3837" ht="16.5" customHeight="1" x14ac:dyDescent="0.2"/>
    <row r="3838" ht="16.5" customHeight="1" x14ac:dyDescent="0.2"/>
    <row r="3839" ht="16.5" customHeight="1" x14ac:dyDescent="0.2"/>
    <row r="3840" ht="16.5" customHeight="1" x14ac:dyDescent="0.2"/>
    <row r="3841" ht="16.5" customHeight="1" x14ac:dyDescent="0.2"/>
    <row r="3842" ht="16.5" customHeight="1" x14ac:dyDescent="0.2"/>
    <row r="3843" ht="16.5" customHeight="1" x14ac:dyDescent="0.2"/>
    <row r="3844" ht="16.5" customHeight="1" x14ac:dyDescent="0.2"/>
    <row r="3845" ht="16.5" customHeight="1" x14ac:dyDescent="0.2"/>
    <row r="3846" ht="16.5" customHeight="1" x14ac:dyDescent="0.2"/>
    <row r="3847" ht="16.5" customHeight="1" x14ac:dyDescent="0.2"/>
    <row r="3848" ht="16.5" customHeight="1" x14ac:dyDescent="0.2"/>
    <row r="3849" ht="16.5" customHeight="1" x14ac:dyDescent="0.2"/>
    <row r="3850" ht="16.5" customHeight="1" x14ac:dyDescent="0.2"/>
    <row r="3851" ht="16.5" customHeight="1" x14ac:dyDescent="0.2"/>
    <row r="3852" ht="16.5" customHeight="1" x14ac:dyDescent="0.2"/>
    <row r="3853" ht="16.5" customHeight="1" x14ac:dyDescent="0.2"/>
    <row r="3854" ht="16.5" customHeight="1" x14ac:dyDescent="0.2"/>
    <row r="3855" ht="16.5" customHeight="1" x14ac:dyDescent="0.2"/>
    <row r="3856" ht="16.5" customHeight="1" x14ac:dyDescent="0.2"/>
    <row r="3857" ht="16.5" customHeight="1" x14ac:dyDescent="0.2"/>
    <row r="3858" ht="16.5" customHeight="1" x14ac:dyDescent="0.2"/>
    <row r="3859" ht="16.5" customHeight="1" x14ac:dyDescent="0.2"/>
    <row r="3860" ht="16.5" customHeight="1" x14ac:dyDescent="0.2"/>
    <row r="3861" ht="16.5" customHeight="1" x14ac:dyDescent="0.2"/>
    <row r="3862" ht="16.5" customHeight="1" x14ac:dyDescent="0.2"/>
    <row r="3863" ht="16.5" customHeight="1" x14ac:dyDescent="0.2"/>
    <row r="3864" ht="16.5" customHeight="1" x14ac:dyDescent="0.2"/>
    <row r="3865" ht="16.5" customHeight="1" x14ac:dyDescent="0.2"/>
    <row r="3866" ht="16.5" customHeight="1" x14ac:dyDescent="0.2"/>
    <row r="3867" ht="16.5" customHeight="1" x14ac:dyDescent="0.2"/>
    <row r="3868" ht="16.5" customHeight="1" x14ac:dyDescent="0.2"/>
    <row r="3869" ht="16.5" customHeight="1" x14ac:dyDescent="0.2"/>
    <row r="3870" ht="16.5" customHeight="1" x14ac:dyDescent="0.2"/>
    <row r="3871" ht="16.5" customHeight="1" x14ac:dyDescent="0.2"/>
    <row r="3872" ht="16.5" customHeight="1" x14ac:dyDescent="0.2"/>
    <row r="3873" ht="16.5" customHeight="1" x14ac:dyDescent="0.2"/>
    <row r="3874" ht="16.5" customHeight="1" x14ac:dyDescent="0.2"/>
    <row r="3875" ht="16.5" customHeight="1" x14ac:dyDescent="0.2"/>
    <row r="3876" ht="16.5" customHeight="1" x14ac:dyDescent="0.2"/>
    <row r="3877" ht="16.5" customHeight="1" x14ac:dyDescent="0.2"/>
    <row r="3878" ht="16.5" customHeight="1" x14ac:dyDescent="0.2"/>
    <row r="3879" ht="16.5" customHeight="1" x14ac:dyDescent="0.2"/>
    <row r="3880" ht="16.5" customHeight="1" x14ac:dyDescent="0.2"/>
    <row r="3881" ht="16.5" customHeight="1" x14ac:dyDescent="0.2"/>
    <row r="3882" ht="16.5" customHeight="1" x14ac:dyDescent="0.2"/>
    <row r="3883" ht="16.5" customHeight="1" x14ac:dyDescent="0.2"/>
    <row r="3884" ht="16.5" customHeight="1" x14ac:dyDescent="0.2"/>
    <row r="3885" ht="16.5" customHeight="1" x14ac:dyDescent="0.2"/>
    <row r="3886" ht="16.5" customHeight="1" x14ac:dyDescent="0.2"/>
    <row r="3887" ht="16.5" customHeight="1" x14ac:dyDescent="0.2"/>
    <row r="3888" ht="16.5" customHeight="1" x14ac:dyDescent="0.2"/>
    <row r="3889" ht="16.5" customHeight="1" x14ac:dyDescent="0.2"/>
    <row r="3890" ht="16.5" customHeight="1" x14ac:dyDescent="0.2"/>
    <row r="3891" ht="16.5" customHeight="1" x14ac:dyDescent="0.2"/>
    <row r="3892" ht="16.5" customHeight="1" x14ac:dyDescent="0.2"/>
    <row r="3893" ht="16.5" customHeight="1" x14ac:dyDescent="0.2"/>
    <row r="3894" ht="16.5" customHeight="1" x14ac:dyDescent="0.2"/>
    <row r="3895" ht="16.5" customHeight="1" x14ac:dyDescent="0.2"/>
    <row r="3896" ht="16.5" customHeight="1" x14ac:dyDescent="0.2"/>
    <row r="3897" ht="16.5" customHeight="1" x14ac:dyDescent="0.2"/>
    <row r="3898" ht="16.5" customHeight="1" x14ac:dyDescent="0.2"/>
    <row r="3899" ht="16.5" customHeight="1" x14ac:dyDescent="0.2"/>
    <row r="3900" ht="16.5" customHeight="1" x14ac:dyDescent="0.2"/>
    <row r="3901" ht="16.5" customHeight="1" x14ac:dyDescent="0.2"/>
    <row r="3902" ht="16.5" customHeight="1" x14ac:dyDescent="0.2"/>
    <row r="3903" ht="16.5" customHeight="1" x14ac:dyDescent="0.2"/>
    <row r="3904" ht="16.5" customHeight="1" x14ac:dyDescent="0.2"/>
    <row r="3905" ht="16.5" customHeight="1" x14ac:dyDescent="0.2"/>
    <row r="3906" ht="16.5" customHeight="1" x14ac:dyDescent="0.2"/>
    <row r="3907" ht="16.5" customHeight="1" x14ac:dyDescent="0.2"/>
    <row r="3908" ht="16.5" customHeight="1" x14ac:dyDescent="0.2"/>
    <row r="3909" ht="16.5" customHeight="1" x14ac:dyDescent="0.2"/>
    <row r="3910" ht="16.5" customHeight="1" x14ac:dyDescent="0.2"/>
    <row r="3911" ht="16.5" customHeight="1" x14ac:dyDescent="0.2"/>
    <row r="3912" ht="16.5" customHeight="1" x14ac:dyDescent="0.2"/>
    <row r="3913" ht="16.5" customHeight="1" x14ac:dyDescent="0.2"/>
    <row r="3914" ht="16.5" customHeight="1" x14ac:dyDescent="0.2"/>
    <row r="3915" ht="16.5" customHeight="1" x14ac:dyDescent="0.2"/>
    <row r="3916" ht="16.5" customHeight="1" x14ac:dyDescent="0.2"/>
    <row r="3917" ht="16.5" customHeight="1" x14ac:dyDescent="0.2"/>
    <row r="3918" ht="16.5" customHeight="1" x14ac:dyDescent="0.2"/>
    <row r="3919" ht="16.5" customHeight="1" x14ac:dyDescent="0.2"/>
    <row r="3920" ht="16.5" customHeight="1" x14ac:dyDescent="0.2"/>
    <row r="3921" ht="16.5" customHeight="1" x14ac:dyDescent="0.2"/>
    <row r="3922" ht="16.5" customHeight="1" x14ac:dyDescent="0.2"/>
    <row r="3923" ht="16.5" customHeight="1" x14ac:dyDescent="0.2"/>
    <row r="3924" ht="16.5" customHeight="1" x14ac:dyDescent="0.2"/>
    <row r="3925" ht="16.5" customHeight="1" x14ac:dyDescent="0.2"/>
    <row r="3926" ht="16.5" customHeight="1" x14ac:dyDescent="0.2"/>
    <row r="3927" ht="16.5" customHeight="1" x14ac:dyDescent="0.2"/>
    <row r="3928" ht="16.5" customHeight="1" x14ac:dyDescent="0.2"/>
    <row r="3929" ht="16.5" customHeight="1" x14ac:dyDescent="0.2"/>
    <row r="3930" ht="16.5" customHeight="1" x14ac:dyDescent="0.2"/>
    <row r="3931" ht="16.5" customHeight="1" x14ac:dyDescent="0.2"/>
    <row r="3932" ht="16.5" customHeight="1" x14ac:dyDescent="0.2"/>
    <row r="3933" ht="16.5" customHeight="1" x14ac:dyDescent="0.2"/>
    <row r="3934" ht="16.5" customHeight="1" x14ac:dyDescent="0.2"/>
    <row r="3935" ht="16.5" customHeight="1" x14ac:dyDescent="0.2"/>
    <row r="3936" ht="16.5" customHeight="1" x14ac:dyDescent="0.2"/>
    <row r="3937" ht="16.5" customHeight="1" x14ac:dyDescent="0.2"/>
    <row r="3938" ht="16.5" customHeight="1" x14ac:dyDescent="0.2"/>
    <row r="3939" ht="16.5" customHeight="1" x14ac:dyDescent="0.2"/>
    <row r="3940" ht="16.5" customHeight="1" x14ac:dyDescent="0.2"/>
    <row r="3941" ht="16.5" customHeight="1" x14ac:dyDescent="0.2"/>
    <row r="3942" ht="16.5" customHeight="1" x14ac:dyDescent="0.2"/>
    <row r="3943" ht="16.5" customHeight="1" x14ac:dyDescent="0.2"/>
    <row r="3944" ht="16.5" customHeight="1" x14ac:dyDescent="0.2"/>
    <row r="3945" ht="16.5" customHeight="1" x14ac:dyDescent="0.2"/>
    <row r="3946" ht="16.5" customHeight="1" x14ac:dyDescent="0.2"/>
    <row r="3947" ht="16.5" customHeight="1" x14ac:dyDescent="0.2"/>
    <row r="3948" ht="16.5" customHeight="1" x14ac:dyDescent="0.2"/>
    <row r="3949" ht="16.5" customHeight="1" x14ac:dyDescent="0.2"/>
    <row r="3950" ht="16.5" customHeight="1" x14ac:dyDescent="0.2"/>
    <row r="3951" ht="16.5" customHeight="1" x14ac:dyDescent="0.2"/>
    <row r="3952" ht="16.5" customHeight="1" x14ac:dyDescent="0.2"/>
    <row r="3953" ht="16.5" customHeight="1" x14ac:dyDescent="0.2"/>
    <row r="3954" ht="16.5" customHeight="1" x14ac:dyDescent="0.2"/>
    <row r="3955" ht="16.5" customHeight="1" x14ac:dyDescent="0.2"/>
    <row r="3956" ht="16.5" customHeight="1" x14ac:dyDescent="0.2"/>
    <row r="3957" ht="16.5" customHeight="1" x14ac:dyDescent="0.2"/>
    <row r="3958" ht="16.5" customHeight="1" x14ac:dyDescent="0.2"/>
    <row r="3959" ht="16.5" customHeight="1" x14ac:dyDescent="0.2"/>
    <row r="3960" ht="16.5" customHeight="1" x14ac:dyDescent="0.2"/>
    <row r="3961" ht="16.5" customHeight="1" x14ac:dyDescent="0.2"/>
    <row r="3962" ht="16.5" customHeight="1" x14ac:dyDescent="0.2"/>
    <row r="3963" ht="16.5" customHeight="1" x14ac:dyDescent="0.2"/>
    <row r="3964" ht="16.5" customHeight="1" x14ac:dyDescent="0.2"/>
    <row r="3965" ht="16.5" customHeight="1" x14ac:dyDescent="0.2"/>
    <row r="3966" ht="16.5" customHeight="1" x14ac:dyDescent="0.2"/>
    <row r="3967" ht="16.5" customHeight="1" x14ac:dyDescent="0.2"/>
    <row r="3968" ht="16.5" customHeight="1" x14ac:dyDescent="0.2"/>
    <row r="3969" ht="16.5" customHeight="1" x14ac:dyDescent="0.2"/>
    <row r="3970" ht="16.5" customHeight="1" x14ac:dyDescent="0.2"/>
    <row r="3971" ht="16.5" customHeight="1" x14ac:dyDescent="0.2"/>
    <row r="3972" ht="16.5" customHeight="1" x14ac:dyDescent="0.2"/>
    <row r="3973" ht="16.5" customHeight="1" x14ac:dyDescent="0.2"/>
    <row r="3974" ht="16.5" customHeight="1" x14ac:dyDescent="0.2"/>
    <row r="3975" ht="16.5" customHeight="1" x14ac:dyDescent="0.2"/>
    <row r="3976" ht="16.5" customHeight="1" x14ac:dyDescent="0.2"/>
    <row r="3977" ht="16.5" customHeight="1" x14ac:dyDescent="0.2"/>
    <row r="3978" ht="16.5" customHeight="1" x14ac:dyDescent="0.2"/>
    <row r="3979" ht="16.5" customHeight="1" x14ac:dyDescent="0.2"/>
    <row r="3980" ht="16.5" customHeight="1" x14ac:dyDescent="0.2"/>
    <row r="3981" ht="16.5" customHeight="1" x14ac:dyDescent="0.2"/>
    <row r="3982" ht="16.5" customHeight="1" x14ac:dyDescent="0.2"/>
    <row r="3983" ht="16.5" customHeight="1" x14ac:dyDescent="0.2"/>
    <row r="3984" ht="16.5" customHeight="1" x14ac:dyDescent="0.2"/>
    <row r="3985" ht="16.5" customHeight="1" x14ac:dyDescent="0.2"/>
    <row r="3986" ht="16.5" customHeight="1" x14ac:dyDescent="0.2"/>
    <row r="3987" ht="16.5" customHeight="1" x14ac:dyDescent="0.2"/>
    <row r="3988" ht="16.5" customHeight="1" x14ac:dyDescent="0.2"/>
    <row r="3989" ht="16.5" customHeight="1" x14ac:dyDescent="0.2"/>
    <row r="3990" ht="16.5" customHeight="1" x14ac:dyDescent="0.2"/>
    <row r="3991" ht="16.5" customHeight="1" x14ac:dyDescent="0.2"/>
    <row r="3992" ht="16.5" customHeight="1" x14ac:dyDescent="0.2"/>
    <row r="3993" ht="16.5" customHeight="1" x14ac:dyDescent="0.2"/>
    <row r="3994" ht="16.5" customHeight="1" x14ac:dyDescent="0.2"/>
    <row r="3995" ht="16.5" customHeight="1" x14ac:dyDescent="0.2"/>
    <row r="3996" ht="16.5" customHeight="1" x14ac:dyDescent="0.2"/>
    <row r="3997" ht="16.5" customHeight="1" x14ac:dyDescent="0.2"/>
    <row r="3998" ht="16.5" customHeight="1" x14ac:dyDescent="0.2"/>
    <row r="3999" ht="16.5" customHeight="1" x14ac:dyDescent="0.2"/>
    <row r="4000" ht="16.5" customHeight="1" x14ac:dyDescent="0.2"/>
    <row r="4001" ht="16.5" customHeight="1" x14ac:dyDescent="0.2"/>
    <row r="4002" ht="16.5" customHeight="1" x14ac:dyDescent="0.2"/>
    <row r="4003" ht="16.5" customHeight="1" x14ac:dyDescent="0.2"/>
    <row r="4004" ht="16.5" customHeight="1" x14ac:dyDescent="0.2"/>
    <row r="4005" ht="16.5" customHeight="1" x14ac:dyDescent="0.2"/>
    <row r="4006" ht="16.5" customHeight="1" x14ac:dyDescent="0.2"/>
    <row r="4007" ht="16.5" customHeight="1" x14ac:dyDescent="0.2"/>
    <row r="4008" ht="16.5" customHeight="1" x14ac:dyDescent="0.2"/>
    <row r="4009" ht="16.5" customHeight="1" x14ac:dyDescent="0.2"/>
    <row r="4010" ht="16.5" customHeight="1" x14ac:dyDescent="0.2"/>
    <row r="4011" ht="16.5" customHeight="1" x14ac:dyDescent="0.2"/>
    <row r="4012" ht="16.5" customHeight="1" x14ac:dyDescent="0.2"/>
    <row r="4013" ht="16.5" customHeight="1" x14ac:dyDescent="0.2"/>
    <row r="4014" ht="16.5" customHeight="1" x14ac:dyDescent="0.2"/>
    <row r="4015" ht="16.5" customHeight="1" x14ac:dyDescent="0.2"/>
    <row r="4016" ht="16.5" customHeight="1" x14ac:dyDescent="0.2"/>
    <row r="4017" ht="16.5" customHeight="1" x14ac:dyDescent="0.2"/>
    <row r="4018" ht="16.5" customHeight="1" x14ac:dyDescent="0.2"/>
    <row r="4019" ht="16.5" customHeight="1" x14ac:dyDescent="0.2"/>
    <row r="4020" ht="16.5" customHeight="1" x14ac:dyDescent="0.2"/>
    <row r="4021" ht="16.5" customHeight="1" x14ac:dyDescent="0.2"/>
    <row r="4022" ht="16.5" customHeight="1" x14ac:dyDescent="0.2"/>
    <row r="4023" ht="16.5" customHeight="1" x14ac:dyDescent="0.2"/>
    <row r="4024" ht="16.5" customHeight="1" x14ac:dyDescent="0.2"/>
    <row r="4025" ht="16.5" customHeight="1" x14ac:dyDescent="0.2"/>
    <row r="4026" ht="16.5" customHeight="1" x14ac:dyDescent="0.2"/>
    <row r="4027" ht="16.5" customHeight="1" x14ac:dyDescent="0.2"/>
    <row r="4028" ht="16.5" customHeight="1" x14ac:dyDescent="0.2"/>
    <row r="4029" ht="16.5" customHeight="1" x14ac:dyDescent="0.2"/>
    <row r="4030" ht="16.5" customHeight="1" x14ac:dyDescent="0.2"/>
    <row r="4031" ht="16.5" customHeight="1" x14ac:dyDescent="0.2"/>
    <row r="4032" ht="16.5" customHeight="1" x14ac:dyDescent="0.2"/>
    <row r="4033" ht="16.5" customHeight="1" x14ac:dyDescent="0.2"/>
    <row r="4034" ht="16.5" customHeight="1" x14ac:dyDescent="0.2"/>
    <row r="4035" ht="16.5" customHeight="1" x14ac:dyDescent="0.2"/>
    <row r="4036" ht="16.5" customHeight="1" x14ac:dyDescent="0.2"/>
    <row r="4037" ht="16.5" customHeight="1" x14ac:dyDescent="0.2"/>
    <row r="4038" ht="16.5" customHeight="1" x14ac:dyDescent="0.2"/>
    <row r="4039" ht="16.5" customHeight="1" x14ac:dyDescent="0.2"/>
    <row r="4040" ht="16.5" customHeight="1" x14ac:dyDescent="0.2"/>
    <row r="4041" ht="16.5" customHeight="1" x14ac:dyDescent="0.2"/>
    <row r="4042" ht="16.5" customHeight="1" x14ac:dyDescent="0.2"/>
    <row r="4043" ht="16.5" customHeight="1" x14ac:dyDescent="0.2"/>
    <row r="4044" ht="16.5" customHeight="1" x14ac:dyDescent="0.2"/>
    <row r="4045" ht="16.5" customHeight="1" x14ac:dyDescent="0.2"/>
    <row r="4046" ht="16.5" customHeight="1" x14ac:dyDescent="0.2"/>
    <row r="4047" ht="16.5" customHeight="1" x14ac:dyDescent="0.2"/>
    <row r="4048" ht="16.5" customHeight="1" x14ac:dyDescent="0.2"/>
    <row r="4049" ht="16.5" customHeight="1" x14ac:dyDescent="0.2"/>
    <row r="4050" ht="16.5" customHeight="1" x14ac:dyDescent="0.2"/>
    <row r="4051" ht="16.5" customHeight="1" x14ac:dyDescent="0.2"/>
    <row r="4052" ht="16.5" customHeight="1" x14ac:dyDescent="0.2"/>
    <row r="4053" ht="16.5" customHeight="1" x14ac:dyDescent="0.2"/>
    <row r="4054" ht="16.5" customHeight="1" x14ac:dyDescent="0.2"/>
    <row r="4055" ht="16.5" customHeight="1" x14ac:dyDescent="0.2"/>
    <row r="4056" ht="16.5" customHeight="1" x14ac:dyDescent="0.2"/>
    <row r="4057" ht="16.5" customHeight="1" x14ac:dyDescent="0.2"/>
    <row r="4058" ht="16.5" customHeight="1" x14ac:dyDescent="0.2"/>
    <row r="4059" ht="16.5" customHeight="1" x14ac:dyDescent="0.2"/>
    <row r="4060" ht="16.5" customHeight="1" x14ac:dyDescent="0.2"/>
    <row r="4061" ht="16.5" customHeight="1" x14ac:dyDescent="0.2"/>
    <row r="4062" ht="16.5" customHeight="1" x14ac:dyDescent="0.2"/>
    <row r="4063" ht="16.5" customHeight="1" x14ac:dyDescent="0.2"/>
    <row r="4064" ht="16.5" customHeight="1" x14ac:dyDescent="0.2"/>
    <row r="4065" ht="16.5" customHeight="1" x14ac:dyDescent="0.2"/>
    <row r="4066" ht="16.5" customHeight="1" x14ac:dyDescent="0.2"/>
    <row r="4067" ht="16.5" customHeight="1" x14ac:dyDescent="0.2"/>
    <row r="4068" ht="16.5" customHeight="1" x14ac:dyDescent="0.2"/>
    <row r="4069" ht="16.5" customHeight="1" x14ac:dyDescent="0.2"/>
    <row r="4070" ht="16.5" customHeight="1" x14ac:dyDescent="0.2"/>
    <row r="4071" ht="16.5" customHeight="1" x14ac:dyDescent="0.2"/>
    <row r="4072" ht="16.5" customHeight="1" x14ac:dyDescent="0.2"/>
    <row r="4073" ht="16.5" customHeight="1" x14ac:dyDescent="0.2"/>
    <row r="4074" ht="16.5" customHeight="1" x14ac:dyDescent="0.2"/>
    <row r="4075" ht="16.5" customHeight="1" x14ac:dyDescent="0.2"/>
    <row r="4076" ht="16.5" customHeight="1" x14ac:dyDescent="0.2"/>
    <row r="4077" ht="16.5" customHeight="1" x14ac:dyDescent="0.2"/>
    <row r="4078" ht="16.5" customHeight="1" x14ac:dyDescent="0.2"/>
    <row r="4079" ht="16.5" customHeight="1" x14ac:dyDescent="0.2"/>
    <row r="4080" ht="16.5" customHeight="1" x14ac:dyDescent="0.2"/>
    <row r="4081" ht="16.5" customHeight="1" x14ac:dyDescent="0.2"/>
    <row r="4082" ht="16.5" customHeight="1" x14ac:dyDescent="0.2"/>
    <row r="4083" ht="16.5" customHeight="1" x14ac:dyDescent="0.2"/>
    <row r="4084" ht="16.5" customHeight="1" x14ac:dyDescent="0.2"/>
    <row r="4085" ht="16.5" customHeight="1" x14ac:dyDescent="0.2"/>
    <row r="4086" ht="16.5" customHeight="1" x14ac:dyDescent="0.2"/>
    <row r="4087" ht="16.5" customHeight="1" x14ac:dyDescent="0.2"/>
    <row r="4088" ht="16.5" customHeight="1" x14ac:dyDescent="0.2"/>
    <row r="4089" ht="16.5" customHeight="1" x14ac:dyDescent="0.2"/>
    <row r="4090" ht="16.5" customHeight="1" x14ac:dyDescent="0.2"/>
    <row r="4091" ht="16.5" customHeight="1" x14ac:dyDescent="0.2"/>
    <row r="4092" ht="16.5" customHeight="1" x14ac:dyDescent="0.2"/>
    <row r="4093" ht="16.5" customHeight="1" x14ac:dyDescent="0.2"/>
    <row r="4094" ht="16.5" customHeight="1" x14ac:dyDescent="0.2"/>
    <row r="4095" ht="16.5" customHeight="1" x14ac:dyDescent="0.2"/>
    <row r="4096" ht="16.5" customHeight="1" x14ac:dyDescent="0.2"/>
    <row r="4097" ht="16.5" customHeight="1" x14ac:dyDescent="0.2"/>
    <row r="4098" ht="16.5" customHeight="1" x14ac:dyDescent="0.2"/>
    <row r="4099" ht="16.5" customHeight="1" x14ac:dyDescent="0.2"/>
    <row r="4100" ht="16.5" customHeight="1" x14ac:dyDescent="0.2"/>
    <row r="4101" ht="16.5" customHeight="1" x14ac:dyDescent="0.2"/>
    <row r="4102" ht="16.5" customHeight="1" x14ac:dyDescent="0.2"/>
    <row r="4103" ht="16.5" customHeight="1" x14ac:dyDescent="0.2"/>
    <row r="4104" ht="16.5" customHeight="1" x14ac:dyDescent="0.2"/>
    <row r="4105" ht="16.5" customHeight="1" x14ac:dyDescent="0.2"/>
    <row r="4106" ht="16.5" customHeight="1" x14ac:dyDescent="0.2"/>
    <row r="4107" ht="16.5" customHeight="1" x14ac:dyDescent="0.2"/>
    <row r="4108" ht="16.5" customHeight="1" x14ac:dyDescent="0.2"/>
    <row r="4109" ht="16.5" customHeight="1" x14ac:dyDescent="0.2"/>
    <row r="4110" ht="16.5" customHeight="1" x14ac:dyDescent="0.2"/>
    <row r="4111" ht="16.5" customHeight="1" x14ac:dyDescent="0.2"/>
    <row r="4112" ht="16.5" customHeight="1" x14ac:dyDescent="0.2"/>
    <row r="4113" ht="16.5" customHeight="1" x14ac:dyDescent="0.2"/>
    <row r="4114" ht="16.5" customHeight="1" x14ac:dyDescent="0.2"/>
    <row r="4115" ht="16.5" customHeight="1" x14ac:dyDescent="0.2"/>
    <row r="4116" ht="16.5" customHeight="1" x14ac:dyDescent="0.2"/>
    <row r="4117" ht="16.5" customHeight="1" x14ac:dyDescent="0.2"/>
    <row r="4118" ht="16.5" customHeight="1" x14ac:dyDescent="0.2"/>
    <row r="4119" ht="16.5" customHeight="1" x14ac:dyDescent="0.2"/>
    <row r="4120" ht="16.5" customHeight="1" x14ac:dyDescent="0.2"/>
    <row r="4121" ht="16.5" customHeight="1" x14ac:dyDescent="0.2"/>
    <row r="4122" ht="16.5" customHeight="1" x14ac:dyDescent="0.2"/>
    <row r="4123" ht="16.5" customHeight="1" x14ac:dyDescent="0.2"/>
    <row r="4124" ht="16.5" customHeight="1" x14ac:dyDescent="0.2"/>
    <row r="4125" ht="16.5" customHeight="1" x14ac:dyDescent="0.2"/>
    <row r="4126" ht="16.5" customHeight="1" x14ac:dyDescent="0.2"/>
    <row r="4127" ht="16.5" customHeight="1" x14ac:dyDescent="0.2"/>
    <row r="4128" ht="16.5" customHeight="1" x14ac:dyDescent="0.2"/>
    <row r="4129" ht="16.5" customHeight="1" x14ac:dyDescent="0.2"/>
    <row r="4130" ht="16.5" customHeight="1" x14ac:dyDescent="0.2"/>
    <row r="4131" ht="16.5" customHeight="1" x14ac:dyDescent="0.2"/>
    <row r="4132" ht="16.5" customHeight="1" x14ac:dyDescent="0.2"/>
    <row r="4133" ht="16.5" customHeight="1" x14ac:dyDescent="0.2"/>
    <row r="4134" ht="16.5" customHeight="1" x14ac:dyDescent="0.2"/>
    <row r="4135" ht="16.5" customHeight="1" x14ac:dyDescent="0.2"/>
    <row r="4136" ht="16.5" customHeight="1" x14ac:dyDescent="0.2"/>
    <row r="4137" ht="16.5" customHeight="1" x14ac:dyDescent="0.2"/>
    <row r="4138" ht="16.5" customHeight="1" x14ac:dyDescent="0.2"/>
    <row r="4139" ht="16.5" customHeight="1" x14ac:dyDescent="0.2"/>
    <row r="4140" ht="16.5" customHeight="1" x14ac:dyDescent="0.2"/>
    <row r="4141" ht="16.5" customHeight="1" x14ac:dyDescent="0.2"/>
    <row r="4142" ht="16.5" customHeight="1" x14ac:dyDescent="0.2"/>
    <row r="4143" ht="16.5" customHeight="1" x14ac:dyDescent="0.2"/>
    <row r="4144" ht="16.5" customHeight="1" x14ac:dyDescent="0.2"/>
    <row r="4145" ht="16.5" customHeight="1" x14ac:dyDescent="0.2"/>
    <row r="4146" ht="16.5" customHeight="1" x14ac:dyDescent="0.2"/>
    <row r="4147" ht="16.5" customHeight="1" x14ac:dyDescent="0.2"/>
    <row r="4148" ht="16.5" customHeight="1" x14ac:dyDescent="0.2"/>
    <row r="4149" ht="16.5" customHeight="1" x14ac:dyDescent="0.2"/>
    <row r="4150" ht="16.5" customHeight="1" x14ac:dyDescent="0.2"/>
    <row r="4151" ht="16.5" customHeight="1" x14ac:dyDescent="0.2"/>
    <row r="4152" ht="16.5" customHeight="1" x14ac:dyDescent="0.2"/>
    <row r="4153" ht="16.5" customHeight="1" x14ac:dyDescent="0.2"/>
    <row r="4154" ht="16.5" customHeight="1" x14ac:dyDescent="0.2"/>
    <row r="4155" ht="16.5" customHeight="1" x14ac:dyDescent="0.2"/>
    <row r="4156" ht="16.5" customHeight="1" x14ac:dyDescent="0.2"/>
    <row r="4157" ht="16.5" customHeight="1" x14ac:dyDescent="0.2"/>
    <row r="4158" ht="16.5" customHeight="1" x14ac:dyDescent="0.2"/>
    <row r="4159" ht="16.5" customHeight="1" x14ac:dyDescent="0.2"/>
    <row r="4160" ht="16.5" customHeight="1" x14ac:dyDescent="0.2"/>
    <row r="4161" ht="16.5" customHeight="1" x14ac:dyDescent="0.2"/>
    <row r="4162" ht="16.5" customHeight="1" x14ac:dyDescent="0.2"/>
    <row r="4163" ht="16.5" customHeight="1" x14ac:dyDescent="0.2"/>
    <row r="4164" ht="16.5" customHeight="1" x14ac:dyDescent="0.2"/>
    <row r="4165" ht="16.5" customHeight="1" x14ac:dyDescent="0.2"/>
    <row r="4166" ht="16.5" customHeight="1" x14ac:dyDescent="0.2"/>
    <row r="4167" ht="16.5" customHeight="1" x14ac:dyDescent="0.2"/>
    <row r="4168" ht="16.5" customHeight="1" x14ac:dyDescent="0.2"/>
    <row r="4169" ht="16.5" customHeight="1" x14ac:dyDescent="0.2"/>
    <row r="4170" ht="16.5" customHeight="1" x14ac:dyDescent="0.2"/>
    <row r="4171" ht="16.5" customHeight="1" x14ac:dyDescent="0.2"/>
    <row r="4172" ht="16.5" customHeight="1" x14ac:dyDescent="0.2"/>
    <row r="4173" ht="16.5" customHeight="1" x14ac:dyDescent="0.2"/>
    <row r="4174" ht="16.5" customHeight="1" x14ac:dyDescent="0.2"/>
    <row r="4175" ht="16.5" customHeight="1" x14ac:dyDescent="0.2"/>
    <row r="4176" ht="16.5" customHeight="1" x14ac:dyDescent="0.2"/>
    <row r="4177" ht="16.5" customHeight="1" x14ac:dyDescent="0.2"/>
    <row r="4178" ht="16.5" customHeight="1" x14ac:dyDescent="0.2"/>
    <row r="4179" ht="16.5" customHeight="1" x14ac:dyDescent="0.2"/>
    <row r="4180" ht="16.5" customHeight="1" x14ac:dyDescent="0.2"/>
    <row r="4181" ht="16.5" customHeight="1" x14ac:dyDescent="0.2"/>
    <row r="4182" ht="16.5" customHeight="1" x14ac:dyDescent="0.2"/>
    <row r="4183" ht="16.5" customHeight="1" x14ac:dyDescent="0.2"/>
    <row r="4184" ht="16.5" customHeight="1" x14ac:dyDescent="0.2"/>
    <row r="4185" ht="16.5" customHeight="1" x14ac:dyDescent="0.2"/>
    <row r="4186" ht="16.5" customHeight="1" x14ac:dyDescent="0.2"/>
    <row r="4187" ht="16.5" customHeight="1" x14ac:dyDescent="0.2"/>
    <row r="4188" ht="16.5" customHeight="1" x14ac:dyDescent="0.2"/>
    <row r="4189" ht="16.5" customHeight="1" x14ac:dyDescent="0.2"/>
    <row r="4190" ht="16.5" customHeight="1" x14ac:dyDescent="0.2"/>
    <row r="4191" ht="16.5" customHeight="1" x14ac:dyDescent="0.2"/>
    <row r="4192" ht="16.5" customHeight="1" x14ac:dyDescent="0.2"/>
    <row r="4193" ht="16.5" customHeight="1" x14ac:dyDescent="0.2"/>
    <row r="4194" ht="16.5" customHeight="1" x14ac:dyDescent="0.2"/>
    <row r="4195" ht="16.5" customHeight="1" x14ac:dyDescent="0.2"/>
    <row r="4196" ht="16.5" customHeight="1" x14ac:dyDescent="0.2"/>
    <row r="4197" ht="16.5" customHeight="1" x14ac:dyDescent="0.2"/>
    <row r="4198" ht="16.5" customHeight="1" x14ac:dyDescent="0.2"/>
    <row r="4199" ht="16.5" customHeight="1" x14ac:dyDescent="0.2"/>
    <row r="4200" ht="16.5" customHeight="1" x14ac:dyDescent="0.2"/>
    <row r="4201" ht="16.5" customHeight="1" x14ac:dyDescent="0.2"/>
    <row r="4202" ht="16.5" customHeight="1" x14ac:dyDescent="0.2"/>
    <row r="4203" ht="16.5" customHeight="1" x14ac:dyDescent="0.2"/>
    <row r="4204" ht="16.5" customHeight="1" x14ac:dyDescent="0.2"/>
    <row r="4205" ht="16.5" customHeight="1" x14ac:dyDescent="0.2"/>
    <row r="4206" ht="16.5" customHeight="1" x14ac:dyDescent="0.2"/>
    <row r="4207" ht="16.5" customHeight="1" x14ac:dyDescent="0.2"/>
    <row r="4208" ht="16.5" customHeight="1" x14ac:dyDescent="0.2"/>
    <row r="4209" ht="16.5" customHeight="1" x14ac:dyDescent="0.2"/>
    <row r="4210" ht="16.5" customHeight="1" x14ac:dyDescent="0.2"/>
    <row r="4211" ht="16.5" customHeight="1" x14ac:dyDescent="0.2"/>
    <row r="4212" ht="16.5" customHeight="1" x14ac:dyDescent="0.2"/>
    <row r="4213" ht="16.5" customHeight="1" x14ac:dyDescent="0.2"/>
    <row r="4214" ht="16.5" customHeight="1" x14ac:dyDescent="0.2"/>
    <row r="4215" ht="16.5" customHeight="1" x14ac:dyDescent="0.2"/>
    <row r="4216" ht="16.5" customHeight="1" x14ac:dyDescent="0.2"/>
    <row r="4217" ht="16.5" customHeight="1" x14ac:dyDescent="0.2"/>
    <row r="4218" ht="16.5" customHeight="1" x14ac:dyDescent="0.2"/>
    <row r="4219" ht="16.5" customHeight="1" x14ac:dyDescent="0.2"/>
    <row r="4220" ht="16.5" customHeight="1" x14ac:dyDescent="0.2"/>
    <row r="4221" ht="16.5" customHeight="1" x14ac:dyDescent="0.2"/>
    <row r="4222" ht="16.5" customHeight="1" x14ac:dyDescent="0.2"/>
    <row r="4223" ht="16.5" customHeight="1" x14ac:dyDescent="0.2"/>
    <row r="4224" ht="16.5" customHeight="1" x14ac:dyDescent="0.2"/>
    <row r="4225" ht="16.5" customHeight="1" x14ac:dyDescent="0.2"/>
    <row r="4226" ht="16.5" customHeight="1" x14ac:dyDescent="0.2"/>
    <row r="4227" ht="16.5" customHeight="1" x14ac:dyDescent="0.2"/>
    <row r="4228" ht="16.5" customHeight="1" x14ac:dyDescent="0.2"/>
    <row r="4229" ht="16.5" customHeight="1" x14ac:dyDescent="0.2"/>
    <row r="4230" ht="16.5" customHeight="1" x14ac:dyDescent="0.2"/>
    <row r="4231" ht="16.5" customHeight="1" x14ac:dyDescent="0.2"/>
    <row r="4232" ht="16.5" customHeight="1" x14ac:dyDescent="0.2"/>
    <row r="4233" ht="16.5" customHeight="1" x14ac:dyDescent="0.2"/>
    <row r="4234" ht="16.5" customHeight="1" x14ac:dyDescent="0.2"/>
    <row r="4235" ht="16.5" customHeight="1" x14ac:dyDescent="0.2"/>
    <row r="4236" ht="16.5" customHeight="1" x14ac:dyDescent="0.2"/>
    <row r="4237" ht="16.5" customHeight="1" x14ac:dyDescent="0.2"/>
    <row r="4238" ht="16.5" customHeight="1" x14ac:dyDescent="0.2"/>
    <row r="4239" ht="16.5" customHeight="1" x14ac:dyDescent="0.2"/>
    <row r="4240" ht="16.5" customHeight="1" x14ac:dyDescent="0.2"/>
    <row r="4241" ht="16.5" customHeight="1" x14ac:dyDescent="0.2"/>
    <row r="4242" ht="16.5" customHeight="1" x14ac:dyDescent="0.2"/>
    <row r="4243" ht="16.5" customHeight="1" x14ac:dyDescent="0.2"/>
    <row r="4244" ht="16.5" customHeight="1" x14ac:dyDescent="0.2"/>
    <row r="4245" ht="16.5" customHeight="1" x14ac:dyDescent="0.2"/>
    <row r="4246" ht="16.5" customHeight="1" x14ac:dyDescent="0.2"/>
    <row r="4247" ht="16.5" customHeight="1" x14ac:dyDescent="0.2"/>
    <row r="4248" ht="16.5" customHeight="1" x14ac:dyDescent="0.2"/>
    <row r="4249" ht="16.5" customHeight="1" x14ac:dyDescent="0.2"/>
    <row r="4250" ht="16.5" customHeight="1" x14ac:dyDescent="0.2"/>
    <row r="4251" ht="16.5" customHeight="1" x14ac:dyDescent="0.2"/>
    <row r="4252" ht="16.5" customHeight="1" x14ac:dyDescent="0.2"/>
    <row r="4253" ht="16.5" customHeight="1" x14ac:dyDescent="0.2"/>
    <row r="4254" ht="16.5" customHeight="1" x14ac:dyDescent="0.2"/>
    <row r="4255" ht="16.5" customHeight="1" x14ac:dyDescent="0.2"/>
    <row r="4256" ht="16.5" customHeight="1" x14ac:dyDescent="0.2"/>
    <row r="4257" ht="16.5" customHeight="1" x14ac:dyDescent="0.2"/>
    <row r="4258" ht="16.5" customHeight="1" x14ac:dyDescent="0.2"/>
    <row r="4259" ht="16.5" customHeight="1" x14ac:dyDescent="0.2"/>
    <row r="4260" ht="16.5" customHeight="1" x14ac:dyDescent="0.2"/>
    <row r="4261" ht="16.5" customHeight="1" x14ac:dyDescent="0.2"/>
    <row r="4262" ht="16.5" customHeight="1" x14ac:dyDescent="0.2"/>
    <row r="4263" ht="16.5" customHeight="1" x14ac:dyDescent="0.2"/>
    <row r="4264" ht="16.5" customHeight="1" x14ac:dyDescent="0.2"/>
    <row r="4265" ht="16.5" customHeight="1" x14ac:dyDescent="0.2"/>
    <row r="4266" ht="16.5" customHeight="1" x14ac:dyDescent="0.2"/>
    <row r="4267" ht="16.5" customHeight="1" x14ac:dyDescent="0.2"/>
    <row r="4268" ht="16.5" customHeight="1" x14ac:dyDescent="0.2"/>
    <row r="4269" ht="16.5" customHeight="1" x14ac:dyDescent="0.2"/>
    <row r="4270" ht="16.5" customHeight="1" x14ac:dyDescent="0.2"/>
    <row r="4271" ht="16.5" customHeight="1" x14ac:dyDescent="0.2"/>
    <row r="4272" ht="16.5" customHeight="1" x14ac:dyDescent="0.2"/>
    <row r="4273" ht="16.5" customHeight="1" x14ac:dyDescent="0.2"/>
    <row r="4274" ht="16.5" customHeight="1" x14ac:dyDescent="0.2"/>
    <row r="4275" ht="16.5" customHeight="1" x14ac:dyDescent="0.2"/>
    <row r="4276" ht="16.5" customHeight="1" x14ac:dyDescent="0.2"/>
    <row r="4277" ht="16.5" customHeight="1" x14ac:dyDescent="0.2"/>
    <row r="4278" ht="16.5" customHeight="1" x14ac:dyDescent="0.2"/>
    <row r="4279" ht="16.5" customHeight="1" x14ac:dyDescent="0.2"/>
    <row r="4280" ht="16.5" customHeight="1" x14ac:dyDescent="0.2"/>
    <row r="4281" ht="16.5" customHeight="1" x14ac:dyDescent="0.2"/>
    <row r="4282" ht="16.5" customHeight="1" x14ac:dyDescent="0.2"/>
    <row r="4283" ht="16.5" customHeight="1" x14ac:dyDescent="0.2"/>
    <row r="4284" ht="16.5" customHeight="1" x14ac:dyDescent="0.2"/>
    <row r="4285" ht="16.5" customHeight="1" x14ac:dyDescent="0.2"/>
    <row r="4286" ht="16.5" customHeight="1" x14ac:dyDescent="0.2"/>
    <row r="4287" ht="16.5" customHeight="1" x14ac:dyDescent="0.2"/>
    <row r="4288" ht="16.5" customHeight="1" x14ac:dyDescent="0.2"/>
    <row r="4289" ht="16.5" customHeight="1" x14ac:dyDescent="0.2"/>
    <row r="4290" ht="16.5" customHeight="1" x14ac:dyDescent="0.2"/>
    <row r="4291" ht="16.5" customHeight="1" x14ac:dyDescent="0.2"/>
    <row r="4292" ht="16.5" customHeight="1" x14ac:dyDescent="0.2"/>
    <row r="4293" ht="16.5" customHeight="1" x14ac:dyDescent="0.2"/>
    <row r="4294" ht="16.5" customHeight="1" x14ac:dyDescent="0.2"/>
    <row r="4295" ht="16.5" customHeight="1" x14ac:dyDescent="0.2"/>
    <row r="4296" ht="16.5" customHeight="1" x14ac:dyDescent="0.2"/>
    <row r="4297" ht="16.5" customHeight="1" x14ac:dyDescent="0.2"/>
    <row r="4298" ht="16.5" customHeight="1" x14ac:dyDescent="0.2"/>
    <row r="4299" ht="16.5" customHeight="1" x14ac:dyDescent="0.2"/>
    <row r="4300" ht="16.5" customHeight="1" x14ac:dyDescent="0.2"/>
    <row r="4301" ht="16.5" customHeight="1" x14ac:dyDescent="0.2"/>
    <row r="4302" ht="16.5" customHeight="1" x14ac:dyDescent="0.2"/>
    <row r="4303" ht="16.5" customHeight="1" x14ac:dyDescent="0.2"/>
    <row r="4304" ht="16.5" customHeight="1" x14ac:dyDescent="0.2"/>
    <row r="4305" ht="16.5" customHeight="1" x14ac:dyDescent="0.2"/>
    <row r="4306" ht="16.5" customHeight="1" x14ac:dyDescent="0.2"/>
    <row r="4307" ht="16.5" customHeight="1" x14ac:dyDescent="0.2"/>
    <row r="4308" ht="16.5" customHeight="1" x14ac:dyDescent="0.2"/>
    <row r="4309" ht="16.5" customHeight="1" x14ac:dyDescent="0.2"/>
    <row r="4310" ht="16.5" customHeight="1" x14ac:dyDescent="0.2"/>
    <row r="4311" ht="16.5" customHeight="1" x14ac:dyDescent="0.2"/>
    <row r="4312" ht="16.5" customHeight="1" x14ac:dyDescent="0.2"/>
    <row r="4313" ht="16.5" customHeight="1" x14ac:dyDescent="0.2"/>
    <row r="4314" ht="16.5" customHeight="1" x14ac:dyDescent="0.2"/>
    <row r="4315" ht="16.5" customHeight="1" x14ac:dyDescent="0.2"/>
    <row r="4316" ht="16.5" customHeight="1" x14ac:dyDescent="0.2"/>
    <row r="4317" ht="16.5" customHeight="1" x14ac:dyDescent="0.2"/>
    <row r="4318" ht="16.5" customHeight="1" x14ac:dyDescent="0.2"/>
    <row r="4319" ht="16.5" customHeight="1" x14ac:dyDescent="0.2"/>
    <row r="4320" ht="16.5" customHeight="1" x14ac:dyDescent="0.2"/>
    <row r="4321" ht="16.5" customHeight="1" x14ac:dyDescent="0.2"/>
    <row r="4322" ht="16.5" customHeight="1" x14ac:dyDescent="0.2"/>
    <row r="4323" ht="16.5" customHeight="1" x14ac:dyDescent="0.2"/>
    <row r="4324" ht="16.5" customHeight="1" x14ac:dyDescent="0.2"/>
    <row r="4325" ht="16.5" customHeight="1" x14ac:dyDescent="0.2"/>
    <row r="4326" ht="16.5" customHeight="1" x14ac:dyDescent="0.2"/>
    <row r="4327" ht="16.5" customHeight="1" x14ac:dyDescent="0.2"/>
    <row r="4328" ht="16.5" customHeight="1" x14ac:dyDescent="0.2"/>
    <row r="4329" ht="16.5" customHeight="1" x14ac:dyDescent="0.2"/>
    <row r="4330" ht="16.5" customHeight="1" x14ac:dyDescent="0.2"/>
    <row r="4331" ht="16.5" customHeight="1" x14ac:dyDescent="0.2"/>
    <row r="4332" ht="16.5" customHeight="1" x14ac:dyDescent="0.2"/>
    <row r="4333" ht="16.5" customHeight="1" x14ac:dyDescent="0.2"/>
    <row r="4334" ht="16.5" customHeight="1" x14ac:dyDescent="0.2"/>
    <row r="4335" ht="16.5" customHeight="1" x14ac:dyDescent="0.2"/>
    <row r="4336" ht="16.5" customHeight="1" x14ac:dyDescent="0.2"/>
    <row r="4337" ht="16.5" customHeight="1" x14ac:dyDescent="0.2"/>
    <row r="4338" ht="16.5" customHeight="1" x14ac:dyDescent="0.2"/>
    <row r="4339" ht="16.5" customHeight="1" x14ac:dyDescent="0.2"/>
    <row r="4340" ht="16.5" customHeight="1" x14ac:dyDescent="0.2"/>
    <row r="4341" ht="16.5" customHeight="1" x14ac:dyDescent="0.2"/>
    <row r="4342" ht="16.5" customHeight="1" x14ac:dyDescent="0.2"/>
    <row r="4343" ht="16.5" customHeight="1" x14ac:dyDescent="0.2"/>
    <row r="4344" ht="16.5" customHeight="1" x14ac:dyDescent="0.2"/>
    <row r="4345" ht="16.5" customHeight="1" x14ac:dyDescent="0.2"/>
    <row r="4346" ht="16.5" customHeight="1" x14ac:dyDescent="0.2"/>
    <row r="4347" ht="16.5" customHeight="1" x14ac:dyDescent="0.2"/>
    <row r="4348" ht="16.5" customHeight="1" x14ac:dyDescent="0.2"/>
    <row r="4349" ht="16.5" customHeight="1" x14ac:dyDescent="0.2"/>
    <row r="4350" ht="16.5" customHeight="1" x14ac:dyDescent="0.2"/>
    <row r="4351" ht="16.5" customHeight="1" x14ac:dyDescent="0.2"/>
    <row r="4352" ht="16.5" customHeight="1" x14ac:dyDescent="0.2"/>
    <row r="4353" ht="16.5" customHeight="1" x14ac:dyDescent="0.2"/>
    <row r="4354" ht="16.5" customHeight="1" x14ac:dyDescent="0.2"/>
    <row r="4355" ht="16.5" customHeight="1" x14ac:dyDescent="0.2"/>
    <row r="4356" ht="16.5" customHeight="1" x14ac:dyDescent="0.2"/>
    <row r="4357" ht="16.5" customHeight="1" x14ac:dyDescent="0.2"/>
    <row r="4358" ht="16.5" customHeight="1" x14ac:dyDescent="0.2"/>
    <row r="4359" ht="16.5" customHeight="1" x14ac:dyDescent="0.2"/>
    <row r="4360" ht="16.5" customHeight="1" x14ac:dyDescent="0.2"/>
    <row r="4361" ht="16.5" customHeight="1" x14ac:dyDescent="0.2"/>
    <row r="4362" ht="16.5" customHeight="1" x14ac:dyDescent="0.2"/>
    <row r="4363" ht="16.5" customHeight="1" x14ac:dyDescent="0.2"/>
    <row r="4364" ht="16.5" customHeight="1" x14ac:dyDescent="0.2"/>
    <row r="4365" ht="16.5" customHeight="1" x14ac:dyDescent="0.2"/>
    <row r="4366" ht="16.5" customHeight="1" x14ac:dyDescent="0.2"/>
    <row r="4367" ht="16.5" customHeight="1" x14ac:dyDescent="0.2"/>
    <row r="4368" ht="16.5" customHeight="1" x14ac:dyDescent="0.2"/>
    <row r="4369" ht="16.5" customHeight="1" x14ac:dyDescent="0.2"/>
    <row r="4370" ht="16.5" customHeight="1" x14ac:dyDescent="0.2"/>
    <row r="4371" ht="16.5" customHeight="1" x14ac:dyDescent="0.2"/>
    <row r="4372" ht="16.5" customHeight="1" x14ac:dyDescent="0.2"/>
    <row r="4373" ht="16.5" customHeight="1" x14ac:dyDescent="0.2"/>
    <row r="4374" ht="16.5" customHeight="1" x14ac:dyDescent="0.2"/>
    <row r="4375" ht="16.5" customHeight="1" x14ac:dyDescent="0.2"/>
    <row r="4376" ht="16.5" customHeight="1" x14ac:dyDescent="0.2"/>
    <row r="4377" ht="16.5" customHeight="1" x14ac:dyDescent="0.2"/>
    <row r="4378" ht="16.5" customHeight="1" x14ac:dyDescent="0.2"/>
    <row r="4379" ht="16.5" customHeight="1" x14ac:dyDescent="0.2"/>
    <row r="4380" ht="16.5" customHeight="1" x14ac:dyDescent="0.2"/>
    <row r="4381" ht="16.5" customHeight="1" x14ac:dyDescent="0.2"/>
    <row r="4382" ht="16.5" customHeight="1" x14ac:dyDescent="0.2"/>
    <row r="4383" ht="16.5" customHeight="1" x14ac:dyDescent="0.2"/>
    <row r="4384" ht="16.5" customHeight="1" x14ac:dyDescent="0.2"/>
    <row r="4385" ht="16.5" customHeight="1" x14ac:dyDescent="0.2"/>
    <row r="4386" ht="16.5" customHeight="1" x14ac:dyDescent="0.2"/>
    <row r="4387" ht="16.5" customHeight="1" x14ac:dyDescent="0.2"/>
    <row r="4388" ht="16.5" customHeight="1" x14ac:dyDescent="0.2"/>
    <row r="4389" ht="16.5" customHeight="1" x14ac:dyDescent="0.2"/>
    <row r="4390" ht="16.5" customHeight="1" x14ac:dyDescent="0.2"/>
    <row r="4391" ht="16.5" customHeight="1" x14ac:dyDescent="0.2"/>
    <row r="4392" ht="16.5" customHeight="1" x14ac:dyDescent="0.2"/>
    <row r="4393" ht="16.5" customHeight="1" x14ac:dyDescent="0.2"/>
    <row r="4394" ht="16.5" customHeight="1" x14ac:dyDescent="0.2"/>
    <row r="4395" ht="16.5" customHeight="1" x14ac:dyDescent="0.2"/>
    <row r="4396" ht="16.5" customHeight="1" x14ac:dyDescent="0.2"/>
    <row r="4397" ht="16.5" customHeight="1" x14ac:dyDescent="0.2"/>
    <row r="4398" ht="16.5" customHeight="1" x14ac:dyDescent="0.2"/>
    <row r="4399" ht="16.5" customHeight="1" x14ac:dyDescent="0.2"/>
    <row r="4400" ht="16.5" customHeight="1" x14ac:dyDescent="0.2"/>
    <row r="4401" ht="16.5" customHeight="1" x14ac:dyDescent="0.2"/>
    <row r="4402" ht="16.5" customHeight="1" x14ac:dyDescent="0.2"/>
    <row r="4403" ht="16.5" customHeight="1" x14ac:dyDescent="0.2"/>
    <row r="4404" ht="16.5" customHeight="1" x14ac:dyDescent="0.2"/>
    <row r="4405" ht="16.5" customHeight="1" x14ac:dyDescent="0.2"/>
    <row r="4406" ht="16.5" customHeight="1" x14ac:dyDescent="0.2"/>
    <row r="4407" ht="16.5" customHeight="1" x14ac:dyDescent="0.2"/>
    <row r="4408" ht="16.5" customHeight="1" x14ac:dyDescent="0.2"/>
    <row r="4409" ht="16.5" customHeight="1" x14ac:dyDescent="0.2"/>
    <row r="4410" ht="16.5" customHeight="1" x14ac:dyDescent="0.2"/>
    <row r="4411" ht="16.5" customHeight="1" x14ac:dyDescent="0.2"/>
    <row r="4412" ht="16.5" customHeight="1" x14ac:dyDescent="0.2"/>
    <row r="4413" ht="16.5" customHeight="1" x14ac:dyDescent="0.2"/>
    <row r="4414" ht="16.5" customHeight="1" x14ac:dyDescent="0.2"/>
    <row r="4415" ht="16.5" customHeight="1" x14ac:dyDescent="0.2"/>
    <row r="4416" ht="16.5" customHeight="1" x14ac:dyDescent="0.2"/>
    <row r="4417" ht="16.5" customHeight="1" x14ac:dyDescent="0.2"/>
    <row r="4418" ht="16.5" customHeight="1" x14ac:dyDescent="0.2"/>
    <row r="4419" ht="16.5" customHeight="1" x14ac:dyDescent="0.2"/>
    <row r="4420" ht="16.5" customHeight="1" x14ac:dyDescent="0.2"/>
    <row r="4421" ht="16.5" customHeight="1" x14ac:dyDescent="0.2"/>
    <row r="4422" ht="16.5" customHeight="1" x14ac:dyDescent="0.2"/>
    <row r="4423" ht="16.5" customHeight="1" x14ac:dyDescent="0.2"/>
    <row r="4424" ht="16.5" customHeight="1" x14ac:dyDescent="0.2"/>
    <row r="4425" ht="16.5" customHeight="1" x14ac:dyDescent="0.2"/>
    <row r="4426" ht="16.5" customHeight="1" x14ac:dyDescent="0.2"/>
    <row r="4427" ht="16.5" customHeight="1" x14ac:dyDescent="0.2"/>
    <row r="4428" ht="16.5" customHeight="1" x14ac:dyDescent="0.2"/>
    <row r="4429" ht="16.5" customHeight="1" x14ac:dyDescent="0.2"/>
    <row r="4430" ht="16.5" customHeight="1" x14ac:dyDescent="0.2"/>
    <row r="4431" ht="16.5" customHeight="1" x14ac:dyDescent="0.2"/>
    <row r="4432" ht="16.5" customHeight="1" x14ac:dyDescent="0.2"/>
    <row r="4433" ht="16.5" customHeight="1" x14ac:dyDescent="0.2"/>
    <row r="4434" ht="16.5" customHeight="1" x14ac:dyDescent="0.2"/>
    <row r="4435" ht="16.5" customHeight="1" x14ac:dyDescent="0.2"/>
    <row r="4436" ht="16.5" customHeight="1" x14ac:dyDescent="0.2"/>
    <row r="4437" ht="16.5" customHeight="1" x14ac:dyDescent="0.2"/>
    <row r="4438" ht="16.5" customHeight="1" x14ac:dyDescent="0.2"/>
    <row r="4439" ht="16.5" customHeight="1" x14ac:dyDescent="0.2"/>
    <row r="4440" ht="16.5" customHeight="1" x14ac:dyDescent="0.2"/>
    <row r="4441" ht="16.5" customHeight="1" x14ac:dyDescent="0.2"/>
    <row r="4442" ht="16.5" customHeight="1" x14ac:dyDescent="0.2"/>
    <row r="4443" ht="16.5" customHeight="1" x14ac:dyDescent="0.2"/>
    <row r="4444" ht="16.5" customHeight="1" x14ac:dyDescent="0.2"/>
    <row r="4445" ht="16.5" customHeight="1" x14ac:dyDescent="0.2"/>
    <row r="4446" ht="16.5" customHeight="1" x14ac:dyDescent="0.2"/>
    <row r="4447" ht="16.5" customHeight="1" x14ac:dyDescent="0.2"/>
    <row r="4448" ht="16.5" customHeight="1" x14ac:dyDescent="0.2"/>
    <row r="4449" ht="16.5" customHeight="1" x14ac:dyDescent="0.2"/>
    <row r="4450" ht="16.5" customHeight="1" x14ac:dyDescent="0.2"/>
    <row r="4451" ht="16.5" customHeight="1" x14ac:dyDescent="0.2"/>
    <row r="4452" ht="16.5" customHeight="1" x14ac:dyDescent="0.2"/>
    <row r="4453" ht="16.5" customHeight="1" x14ac:dyDescent="0.2"/>
    <row r="4454" ht="16.5" customHeight="1" x14ac:dyDescent="0.2"/>
    <row r="4455" ht="16.5" customHeight="1" x14ac:dyDescent="0.2"/>
    <row r="4456" ht="16.5" customHeight="1" x14ac:dyDescent="0.2"/>
    <row r="4457" ht="16.5" customHeight="1" x14ac:dyDescent="0.2"/>
    <row r="4458" ht="16.5" customHeight="1" x14ac:dyDescent="0.2"/>
    <row r="4459" ht="16.5" customHeight="1" x14ac:dyDescent="0.2"/>
    <row r="4460" ht="16.5" customHeight="1" x14ac:dyDescent="0.2"/>
    <row r="4461" ht="16.5" customHeight="1" x14ac:dyDescent="0.2"/>
    <row r="4462" ht="16.5" customHeight="1" x14ac:dyDescent="0.2"/>
    <row r="4463" ht="16.5" customHeight="1" x14ac:dyDescent="0.2"/>
    <row r="4464" ht="16.5" customHeight="1" x14ac:dyDescent="0.2"/>
    <row r="4465" ht="16.5" customHeight="1" x14ac:dyDescent="0.2"/>
    <row r="4466" ht="16.5" customHeight="1" x14ac:dyDescent="0.2"/>
    <row r="4467" ht="16.5" customHeight="1" x14ac:dyDescent="0.2"/>
    <row r="4468" ht="16.5" customHeight="1" x14ac:dyDescent="0.2"/>
    <row r="4469" ht="16.5" customHeight="1" x14ac:dyDescent="0.2"/>
    <row r="4470" ht="16.5" customHeight="1" x14ac:dyDescent="0.2"/>
    <row r="4471" ht="16.5" customHeight="1" x14ac:dyDescent="0.2"/>
    <row r="4472" ht="16.5" customHeight="1" x14ac:dyDescent="0.2"/>
    <row r="4473" ht="16.5" customHeight="1" x14ac:dyDescent="0.2"/>
    <row r="4474" ht="16.5" customHeight="1" x14ac:dyDescent="0.2"/>
    <row r="4475" ht="16.5" customHeight="1" x14ac:dyDescent="0.2"/>
    <row r="4476" ht="16.5" customHeight="1" x14ac:dyDescent="0.2"/>
    <row r="4477" ht="16.5" customHeight="1" x14ac:dyDescent="0.2"/>
    <row r="4478" ht="16.5" customHeight="1" x14ac:dyDescent="0.2"/>
    <row r="4479" ht="16.5" customHeight="1" x14ac:dyDescent="0.2"/>
    <row r="4480" ht="16.5" customHeight="1" x14ac:dyDescent="0.2"/>
    <row r="4481" ht="16.5" customHeight="1" x14ac:dyDescent="0.2"/>
    <row r="4482" ht="16.5" customHeight="1" x14ac:dyDescent="0.2"/>
    <row r="4483" ht="16.5" customHeight="1" x14ac:dyDescent="0.2"/>
    <row r="4484" ht="16.5" customHeight="1" x14ac:dyDescent="0.2"/>
    <row r="4485" ht="16.5" customHeight="1" x14ac:dyDescent="0.2"/>
    <row r="4486" ht="16.5" customHeight="1" x14ac:dyDescent="0.2"/>
    <row r="4487" ht="16.5" customHeight="1" x14ac:dyDescent="0.2"/>
    <row r="4488" ht="16.5" customHeight="1" x14ac:dyDescent="0.2"/>
    <row r="4489" ht="16.5" customHeight="1" x14ac:dyDescent="0.2"/>
    <row r="4490" ht="16.5" customHeight="1" x14ac:dyDescent="0.2"/>
    <row r="4491" ht="16.5" customHeight="1" x14ac:dyDescent="0.2"/>
    <row r="4492" ht="16.5" customHeight="1" x14ac:dyDescent="0.2"/>
    <row r="4493" ht="16.5" customHeight="1" x14ac:dyDescent="0.2"/>
    <row r="4494" ht="16.5" customHeight="1" x14ac:dyDescent="0.2"/>
    <row r="4495" ht="16.5" customHeight="1" x14ac:dyDescent="0.2"/>
    <row r="4496" ht="16.5" customHeight="1" x14ac:dyDescent="0.2"/>
    <row r="4497" ht="16.5" customHeight="1" x14ac:dyDescent="0.2"/>
    <row r="4498" ht="16.5" customHeight="1" x14ac:dyDescent="0.2"/>
    <row r="4499" ht="16.5" customHeight="1" x14ac:dyDescent="0.2"/>
    <row r="4500" ht="16.5" customHeight="1" x14ac:dyDescent="0.2"/>
    <row r="4501" ht="16.5" customHeight="1" x14ac:dyDescent="0.2"/>
    <row r="4502" ht="16.5" customHeight="1" x14ac:dyDescent="0.2"/>
    <row r="4503" ht="16.5" customHeight="1" x14ac:dyDescent="0.2"/>
    <row r="4504" ht="16.5" customHeight="1" x14ac:dyDescent="0.2"/>
    <row r="4505" ht="16.5" customHeight="1" x14ac:dyDescent="0.2"/>
    <row r="4506" ht="16.5" customHeight="1" x14ac:dyDescent="0.2"/>
    <row r="4507" ht="16.5" customHeight="1" x14ac:dyDescent="0.2"/>
    <row r="4508" ht="16.5" customHeight="1" x14ac:dyDescent="0.2"/>
    <row r="4509" ht="16.5" customHeight="1" x14ac:dyDescent="0.2"/>
    <row r="4510" ht="16.5" customHeight="1" x14ac:dyDescent="0.2"/>
    <row r="4511" ht="16.5" customHeight="1" x14ac:dyDescent="0.2"/>
    <row r="4512" ht="16.5" customHeight="1" x14ac:dyDescent="0.2"/>
    <row r="4513" ht="16.5" customHeight="1" x14ac:dyDescent="0.2"/>
    <row r="4514" ht="16.5" customHeight="1" x14ac:dyDescent="0.2"/>
    <row r="4515" ht="16.5" customHeight="1" x14ac:dyDescent="0.2"/>
    <row r="4516" ht="16.5" customHeight="1" x14ac:dyDescent="0.2"/>
    <row r="4517" ht="16.5" customHeight="1" x14ac:dyDescent="0.2"/>
    <row r="4518" ht="16.5" customHeight="1" x14ac:dyDescent="0.2"/>
    <row r="4519" ht="16.5" customHeight="1" x14ac:dyDescent="0.2"/>
    <row r="4520" ht="16.5" customHeight="1" x14ac:dyDescent="0.2"/>
    <row r="4521" ht="16.5" customHeight="1" x14ac:dyDescent="0.2"/>
    <row r="4522" ht="16.5" customHeight="1" x14ac:dyDescent="0.2"/>
    <row r="4523" ht="16.5" customHeight="1" x14ac:dyDescent="0.2"/>
    <row r="4524" ht="16.5" customHeight="1" x14ac:dyDescent="0.2"/>
    <row r="4525" ht="16.5" customHeight="1" x14ac:dyDescent="0.2"/>
    <row r="4526" ht="16.5" customHeight="1" x14ac:dyDescent="0.2"/>
    <row r="4527" ht="16.5" customHeight="1" x14ac:dyDescent="0.2"/>
    <row r="4528" ht="16.5" customHeight="1" x14ac:dyDescent="0.2"/>
    <row r="4529" ht="16.5" customHeight="1" x14ac:dyDescent="0.2"/>
    <row r="4530" ht="16.5" customHeight="1" x14ac:dyDescent="0.2"/>
    <row r="4531" ht="16.5" customHeight="1" x14ac:dyDescent="0.2"/>
    <row r="4532" ht="16.5" customHeight="1" x14ac:dyDescent="0.2"/>
    <row r="4533" ht="16.5" customHeight="1" x14ac:dyDescent="0.2"/>
    <row r="4534" ht="16.5" customHeight="1" x14ac:dyDescent="0.2"/>
    <row r="4535" ht="16.5" customHeight="1" x14ac:dyDescent="0.2"/>
    <row r="4536" ht="16.5" customHeight="1" x14ac:dyDescent="0.2"/>
    <row r="4537" ht="16.5" customHeight="1" x14ac:dyDescent="0.2"/>
    <row r="4538" ht="16.5" customHeight="1" x14ac:dyDescent="0.2"/>
    <row r="4539" ht="16.5" customHeight="1" x14ac:dyDescent="0.2"/>
    <row r="4540" ht="16.5" customHeight="1" x14ac:dyDescent="0.2"/>
    <row r="4541" ht="16.5" customHeight="1" x14ac:dyDescent="0.2"/>
    <row r="4542" ht="16.5" customHeight="1" x14ac:dyDescent="0.2"/>
    <row r="4543" ht="16.5" customHeight="1" x14ac:dyDescent="0.2"/>
    <row r="4544" ht="16.5" customHeight="1" x14ac:dyDescent="0.2"/>
    <row r="4545" ht="16.5" customHeight="1" x14ac:dyDescent="0.2"/>
    <row r="4546" ht="16.5" customHeight="1" x14ac:dyDescent="0.2"/>
    <row r="4547" ht="16.5" customHeight="1" x14ac:dyDescent="0.2"/>
    <row r="4548" ht="16.5" customHeight="1" x14ac:dyDescent="0.2"/>
    <row r="4549" ht="16.5" customHeight="1" x14ac:dyDescent="0.2"/>
    <row r="4550" ht="16.5" customHeight="1" x14ac:dyDescent="0.2"/>
    <row r="4551" ht="16.5" customHeight="1" x14ac:dyDescent="0.2"/>
    <row r="4552" ht="16.5" customHeight="1" x14ac:dyDescent="0.2"/>
    <row r="4553" ht="16.5" customHeight="1" x14ac:dyDescent="0.2"/>
    <row r="4554" ht="16.5" customHeight="1" x14ac:dyDescent="0.2"/>
    <row r="4555" ht="16.5" customHeight="1" x14ac:dyDescent="0.2"/>
    <row r="4556" ht="16.5" customHeight="1" x14ac:dyDescent="0.2"/>
    <row r="4557" ht="16.5" customHeight="1" x14ac:dyDescent="0.2"/>
    <row r="4558" ht="16.5" customHeight="1" x14ac:dyDescent="0.2"/>
    <row r="4559" ht="16.5" customHeight="1" x14ac:dyDescent="0.2"/>
    <row r="4560" ht="16.5" customHeight="1" x14ac:dyDescent="0.2"/>
    <row r="4561" ht="16.5" customHeight="1" x14ac:dyDescent="0.2"/>
    <row r="4562" ht="16.5" customHeight="1" x14ac:dyDescent="0.2"/>
    <row r="4563" ht="16.5" customHeight="1" x14ac:dyDescent="0.2"/>
    <row r="4564" ht="16.5" customHeight="1" x14ac:dyDescent="0.2"/>
    <row r="4565" ht="16.5" customHeight="1" x14ac:dyDescent="0.2"/>
    <row r="4566" ht="16.5" customHeight="1" x14ac:dyDescent="0.2"/>
    <row r="4567" ht="16.5" customHeight="1" x14ac:dyDescent="0.2"/>
    <row r="4568" ht="16.5" customHeight="1" x14ac:dyDescent="0.2"/>
    <row r="4569" ht="16.5" customHeight="1" x14ac:dyDescent="0.2"/>
    <row r="4570" ht="16.5" customHeight="1" x14ac:dyDescent="0.2"/>
    <row r="4571" ht="16.5" customHeight="1" x14ac:dyDescent="0.2"/>
    <row r="4572" ht="16.5" customHeight="1" x14ac:dyDescent="0.2"/>
    <row r="4573" ht="16.5" customHeight="1" x14ac:dyDescent="0.2"/>
    <row r="4574" ht="16.5" customHeight="1" x14ac:dyDescent="0.2"/>
    <row r="4575" ht="16.5" customHeight="1" x14ac:dyDescent="0.2"/>
    <row r="4576" ht="16.5" customHeight="1" x14ac:dyDescent="0.2"/>
    <row r="4577" ht="16.5" customHeight="1" x14ac:dyDescent="0.2"/>
    <row r="4578" ht="16.5" customHeight="1" x14ac:dyDescent="0.2"/>
    <row r="4579" ht="16.5" customHeight="1" x14ac:dyDescent="0.2"/>
    <row r="4580" ht="16.5" customHeight="1" x14ac:dyDescent="0.2"/>
    <row r="4581" ht="16.5" customHeight="1" x14ac:dyDescent="0.2"/>
    <row r="4582" ht="16.5" customHeight="1" x14ac:dyDescent="0.2"/>
    <row r="4583" ht="16.5" customHeight="1" x14ac:dyDescent="0.2"/>
    <row r="4584" ht="16.5" customHeight="1" x14ac:dyDescent="0.2"/>
    <row r="4585" ht="16.5" customHeight="1" x14ac:dyDescent="0.2"/>
    <row r="4586" ht="16.5" customHeight="1" x14ac:dyDescent="0.2"/>
    <row r="4587" ht="16.5" customHeight="1" x14ac:dyDescent="0.2"/>
    <row r="4588" ht="16.5" customHeight="1" x14ac:dyDescent="0.2"/>
    <row r="4589" ht="16.5" customHeight="1" x14ac:dyDescent="0.2"/>
    <row r="4590" ht="16.5" customHeight="1" x14ac:dyDescent="0.2"/>
    <row r="4591" ht="16.5" customHeight="1" x14ac:dyDescent="0.2"/>
    <row r="4592" ht="16.5" customHeight="1" x14ac:dyDescent="0.2"/>
    <row r="4593" ht="16.5" customHeight="1" x14ac:dyDescent="0.2"/>
    <row r="4594" ht="16.5" customHeight="1" x14ac:dyDescent="0.2"/>
    <row r="4595" ht="16.5" customHeight="1" x14ac:dyDescent="0.2"/>
    <row r="4596" ht="16.5" customHeight="1" x14ac:dyDescent="0.2"/>
    <row r="4597" ht="16.5" customHeight="1" x14ac:dyDescent="0.2"/>
    <row r="4598" ht="16.5" customHeight="1" x14ac:dyDescent="0.2"/>
    <row r="4599" ht="16.5" customHeight="1" x14ac:dyDescent="0.2"/>
    <row r="4600" ht="16.5" customHeight="1" x14ac:dyDescent="0.2"/>
    <row r="4601" ht="16.5" customHeight="1" x14ac:dyDescent="0.2"/>
    <row r="4602" ht="16.5" customHeight="1" x14ac:dyDescent="0.2"/>
    <row r="4603" ht="16.5" customHeight="1" x14ac:dyDescent="0.2"/>
    <row r="4604" ht="16.5" customHeight="1" x14ac:dyDescent="0.2"/>
    <row r="4605" ht="16.5" customHeight="1" x14ac:dyDescent="0.2"/>
    <row r="4606" ht="16.5" customHeight="1" x14ac:dyDescent="0.2"/>
    <row r="4607" ht="16.5" customHeight="1" x14ac:dyDescent="0.2"/>
    <row r="4608" ht="16.5" customHeight="1" x14ac:dyDescent="0.2"/>
    <row r="4609" ht="16.5" customHeight="1" x14ac:dyDescent="0.2"/>
    <row r="4610" ht="16.5" customHeight="1" x14ac:dyDescent="0.2"/>
    <row r="4611" ht="16.5" customHeight="1" x14ac:dyDescent="0.2"/>
    <row r="4612" ht="16.5" customHeight="1" x14ac:dyDescent="0.2"/>
    <row r="4613" ht="16.5" customHeight="1" x14ac:dyDescent="0.2"/>
    <row r="4614" ht="16.5" customHeight="1" x14ac:dyDescent="0.2"/>
    <row r="4615" ht="16.5" customHeight="1" x14ac:dyDescent="0.2"/>
    <row r="4616" ht="16.5" customHeight="1" x14ac:dyDescent="0.2"/>
    <row r="4617" ht="16.5" customHeight="1" x14ac:dyDescent="0.2"/>
    <row r="4618" ht="16.5" customHeight="1" x14ac:dyDescent="0.2"/>
    <row r="4619" ht="16.5" customHeight="1" x14ac:dyDescent="0.2"/>
    <row r="4620" ht="16.5" customHeight="1" x14ac:dyDescent="0.2"/>
    <row r="4621" ht="16.5" customHeight="1" x14ac:dyDescent="0.2"/>
    <row r="4622" ht="16.5" customHeight="1" x14ac:dyDescent="0.2"/>
    <row r="4623" ht="16.5" customHeight="1" x14ac:dyDescent="0.2"/>
    <row r="4624" ht="16.5" customHeight="1" x14ac:dyDescent="0.2"/>
    <row r="4625" ht="16.5" customHeight="1" x14ac:dyDescent="0.2"/>
    <row r="4626" ht="16.5" customHeight="1" x14ac:dyDescent="0.2"/>
    <row r="4627" ht="16.5" customHeight="1" x14ac:dyDescent="0.2"/>
    <row r="4628" ht="16.5" customHeight="1" x14ac:dyDescent="0.2"/>
    <row r="4629" ht="16.5" customHeight="1" x14ac:dyDescent="0.2"/>
    <row r="4630" ht="16.5" customHeight="1" x14ac:dyDescent="0.2"/>
    <row r="4631" ht="16.5" customHeight="1" x14ac:dyDescent="0.2"/>
    <row r="4632" ht="16.5" customHeight="1" x14ac:dyDescent="0.2"/>
    <row r="4633" ht="16.5" customHeight="1" x14ac:dyDescent="0.2"/>
    <row r="4634" ht="16.5" customHeight="1" x14ac:dyDescent="0.2"/>
    <row r="4635" ht="16.5" customHeight="1" x14ac:dyDescent="0.2"/>
    <row r="4636" ht="16.5" customHeight="1" x14ac:dyDescent="0.2"/>
    <row r="4637" ht="16.5" customHeight="1" x14ac:dyDescent="0.2"/>
    <row r="4638" ht="16.5" customHeight="1" x14ac:dyDescent="0.2"/>
    <row r="4639" ht="16.5" customHeight="1" x14ac:dyDescent="0.2"/>
    <row r="4640" ht="16.5" customHeight="1" x14ac:dyDescent="0.2"/>
    <row r="4641" ht="16.5" customHeight="1" x14ac:dyDescent="0.2"/>
    <row r="4642" ht="16.5" customHeight="1" x14ac:dyDescent="0.2"/>
    <row r="4643" ht="16.5" customHeight="1" x14ac:dyDescent="0.2"/>
    <row r="4644" ht="16.5" customHeight="1" x14ac:dyDescent="0.2"/>
    <row r="4645" ht="16.5" customHeight="1" x14ac:dyDescent="0.2"/>
    <row r="4646" ht="16.5" customHeight="1" x14ac:dyDescent="0.2"/>
    <row r="4647" ht="16.5" customHeight="1" x14ac:dyDescent="0.2"/>
    <row r="4648" ht="16.5" customHeight="1" x14ac:dyDescent="0.2"/>
    <row r="4649" ht="16.5" customHeight="1" x14ac:dyDescent="0.2"/>
    <row r="4650" ht="16.5" customHeight="1" x14ac:dyDescent="0.2"/>
    <row r="4651" ht="16.5" customHeight="1" x14ac:dyDescent="0.2"/>
    <row r="4652" ht="16.5" customHeight="1" x14ac:dyDescent="0.2"/>
    <row r="4653" ht="16.5" customHeight="1" x14ac:dyDescent="0.2"/>
    <row r="4654" ht="16.5" customHeight="1" x14ac:dyDescent="0.2"/>
    <row r="4655" ht="16.5" customHeight="1" x14ac:dyDescent="0.2"/>
    <row r="4656" ht="16.5" customHeight="1" x14ac:dyDescent="0.2"/>
    <row r="4657" ht="16.5" customHeight="1" x14ac:dyDescent="0.2"/>
    <row r="4658" ht="16.5" customHeight="1" x14ac:dyDescent="0.2"/>
    <row r="4659" ht="16.5" customHeight="1" x14ac:dyDescent="0.2"/>
    <row r="4660" ht="16.5" customHeight="1" x14ac:dyDescent="0.2"/>
    <row r="4661" ht="16.5" customHeight="1" x14ac:dyDescent="0.2"/>
    <row r="4662" ht="16.5" customHeight="1" x14ac:dyDescent="0.2"/>
    <row r="4663" ht="16.5" customHeight="1" x14ac:dyDescent="0.2"/>
    <row r="4664" ht="16.5" customHeight="1" x14ac:dyDescent="0.2"/>
    <row r="4665" ht="16.5" customHeight="1" x14ac:dyDescent="0.2"/>
    <row r="4666" ht="16.5" customHeight="1" x14ac:dyDescent="0.2"/>
    <row r="4667" ht="16.5" customHeight="1" x14ac:dyDescent="0.2"/>
    <row r="4668" ht="16.5" customHeight="1" x14ac:dyDescent="0.2"/>
    <row r="4669" ht="16.5" customHeight="1" x14ac:dyDescent="0.2"/>
    <row r="4670" ht="16.5" customHeight="1" x14ac:dyDescent="0.2"/>
    <row r="4671" ht="16.5" customHeight="1" x14ac:dyDescent="0.2"/>
    <row r="4672" ht="16.5" customHeight="1" x14ac:dyDescent="0.2"/>
    <row r="4673" ht="16.5" customHeight="1" x14ac:dyDescent="0.2"/>
    <row r="4674" ht="16.5" customHeight="1" x14ac:dyDescent="0.2"/>
    <row r="4675" ht="16.5" customHeight="1" x14ac:dyDescent="0.2"/>
    <row r="4676" ht="16.5" customHeight="1" x14ac:dyDescent="0.2"/>
    <row r="4677" ht="16.5" customHeight="1" x14ac:dyDescent="0.2"/>
    <row r="4678" ht="16.5" customHeight="1" x14ac:dyDescent="0.2"/>
    <row r="4679" ht="16.5" customHeight="1" x14ac:dyDescent="0.2"/>
    <row r="4680" ht="16.5" customHeight="1" x14ac:dyDescent="0.2"/>
    <row r="4681" ht="16.5" customHeight="1" x14ac:dyDescent="0.2"/>
    <row r="4682" ht="16.5" customHeight="1" x14ac:dyDescent="0.2"/>
    <row r="4683" ht="16.5" customHeight="1" x14ac:dyDescent="0.2"/>
    <row r="4684" ht="16.5" customHeight="1" x14ac:dyDescent="0.2"/>
    <row r="4685" ht="16.5" customHeight="1" x14ac:dyDescent="0.2"/>
    <row r="4686" ht="16.5" customHeight="1" x14ac:dyDescent="0.2"/>
    <row r="4687" ht="16.5" customHeight="1" x14ac:dyDescent="0.2"/>
    <row r="4688" ht="16.5" customHeight="1" x14ac:dyDescent="0.2"/>
    <row r="4689" ht="16.5" customHeight="1" x14ac:dyDescent="0.2"/>
    <row r="4690" ht="16.5" customHeight="1" x14ac:dyDescent="0.2"/>
    <row r="4691" ht="16.5" customHeight="1" x14ac:dyDescent="0.2"/>
    <row r="4692" ht="16.5" customHeight="1" x14ac:dyDescent="0.2"/>
    <row r="4693" ht="16.5" customHeight="1" x14ac:dyDescent="0.2"/>
    <row r="4694" ht="16.5" customHeight="1" x14ac:dyDescent="0.2"/>
    <row r="4695" ht="16.5" customHeight="1" x14ac:dyDescent="0.2"/>
    <row r="4696" ht="16.5" customHeight="1" x14ac:dyDescent="0.2"/>
    <row r="4697" ht="16.5" customHeight="1" x14ac:dyDescent="0.2"/>
    <row r="4698" ht="16.5" customHeight="1" x14ac:dyDescent="0.2"/>
    <row r="4699" ht="16.5" customHeight="1" x14ac:dyDescent="0.2"/>
    <row r="4700" ht="16.5" customHeight="1" x14ac:dyDescent="0.2"/>
    <row r="4701" ht="16.5" customHeight="1" x14ac:dyDescent="0.2"/>
    <row r="4702" ht="16.5" customHeight="1" x14ac:dyDescent="0.2"/>
    <row r="4703" ht="16.5" customHeight="1" x14ac:dyDescent="0.2"/>
    <row r="4704" ht="16.5" customHeight="1" x14ac:dyDescent="0.2"/>
    <row r="4705" ht="16.5" customHeight="1" x14ac:dyDescent="0.2"/>
    <row r="4706" ht="16.5" customHeight="1" x14ac:dyDescent="0.2"/>
    <row r="4707" ht="16.5" customHeight="1" x14ac:dyDescent="0.2"/>
    <row r="4708" ht="16.5" customHeight="1" x14ac:dyDescent="0.2"/>
    <row r="4709" ht="16.5" customHeight="1" x14ac:dyDescent="0.2"/>
    <row r="4710" ht="16.5" customHeight="1" x14ac:dyDescent="0.2"/>
    <row r="4711" ht="16.5" customHeight="1" x14ac:dyDescent="0.2"/>
    <row r="4712" ht="16.5" customHeight="1" x14ac:dyDescent="0.2"/>
    <row r="4713" ht="16.5" customHeight="1" x14ac:dyDescent="0.2"/>
    <row r="4714" ht="16.5" customHeight="1" x14ac:dyDescent="0.2"/>
    <row r="4715" ht="16.5" customHeight="1" x14ac:dyDescent="0.2"/>
    <row r="4716" ht="16.5" customHeight="1" x14ac:dyDescent="0.2"/>
    <row r="4717" ht="16.5" customHeight="1" x14ac:dyDescent="0.2"/>
    <row r="4718" ht="16.5" customHeight="1" x14ac:dyDescent="0.2"/>
    <row r="4719" ht="16.5" customHeight="1" x14ac:dyDescent="0.2"/>
    <row r="4720" ht="16.5" customHeight="1" x14ac:dyDescent="0.2"/>
    <row r="4721" ht="16.5" customHeight="1" x14ac:dyDescent="0.2"/>
    <row r="4722" ht="16.5" customHeight="1" x14ac:dyDescent="0.2"/>
    <row r="4723" ht="16.5" customHeight="1" x14ac:dyDescent="0.2"/>
    <row r="4724" ht="16.5" customHeight="1" x14ac:dyDescent="0.2"/>
    <row r="4725" ht="16.5" customHeight="1" x14ac:dyDescent="0.2"/>
    <row r="4726" ht="16.5" customHeight="1" x14ac:dyDescent="0.2"/>
    <row r="4727" ht="16.5" customHeight="1" x14ac:dyDescent="0.2"/>
    <row r="4728" ht="16.5" customHeight="1" x14ac:dyDescent="0.2"/>
    <row r="4729" ht="16.5" customHeight="1" x14ac:dyDescent="0.2"/>
    <row r="4730" ht="16.5" customHeight="1" x14ac:dyDescent="0.2"/>
    <row r="4731" ht="16.5" customHeight="1" x14ac:dyDescent="0.2"/>
    <row r="4732" ht="16.5" customHeight="1" x14ac:dyDescent="0.2"/>
    <row r="4733" ht="16.5" customHeight="1" x14ac:dyDescent="0.2"/>
    <row r="4734" ht="16.5" customHeight="1" x14ac:dyDescent="0.2"/>
    <row r="4735" ht="16.5" customHeight="1" x14ac:dyDescent="0.2"/>
    <row r="4736" ht="16.5" customHeight="1" x14ac:dyDescent="0.2"/>
    <row r="4737" ht="16.5" customHeight="1" x14ac:dyDescent="0.2"/>
    <row r="4738" ht="16.5" customHeight="1" x14ac:dyDescent="0.2"/>
    <row r="4739" ht="16.5" customHeight="1" x14ac:dyDescent="0.2"/>
    <row r="4740" ht="16.5" customHeight="1" x14ac:dyDescent="0.2"/>
    <row r="4741" ht="16.5" customHeight="1" x14ac:dyDescent="0.2"/>
    <row r="4742" ht="16.5" customHeight="1" x14ac:dyDescent="0.2"/>
    <row r="4743" ht="16.5" customHeight="1" x14ac:dyDescent="0.2"/>
    <row r="4744" ht="16.5" customHeight="1" x14ac:dyDescent="0.2"/>
    <row r="4745" ht="16.5" customHeight="1" x14ac:dyDescent="0.2"/>
    <row r="4746" ht="16.5" customHeight="1" x14ac:dyDescent="0.2"/>
    <row r="4747" ht="16.5" customHeight="1" x14ac:dyDescent="0.2"/>
    <row r="4748" ht="16.5" customHeight="1" x14ac:dyDescent="0.2"/>
    <row r="4749" ht="16.5" customHeight="1" x14ac:dyDescent="0.2"/>
    <row r="4750" ht="16.5" customHeight="1" x14ac:dyDescent="0.2"/>
    <row r="4751" ht="16.5" customHeight="1" x14ac:dyDescent="0.2"/>
    <row r="4752" ht="16.5" customHeight="1" x14ac:dyDescent="0.2"/>
    <row r="4753" ht="16.5" customHeight="1" x14ac:dyDescent="0.2"/>
    <row r="4754" ht="16.5" customHeight="1" x14ac:dyDescent="0.2"/>
    <row r="4755" ht="16.5" customHeight="1" x14ac:dyDescent="0.2"/>
    <row r="4756" ht="16.5" customHeight="1" x14ac:dyDescent="0.2"/>
    <row r="4757" ht="16.5" customHeight="1" x14ac:dyDescent="0.2"/>
    <row r="4758" ht="16.5" customHeight="1" x14ac:dyDescent="0.2"/>
    <row r="4759" ht="16.5" customHeight="1" x14ac:dyDescent="0.2"/>
    <row r="4760" ht="16.5" customHeight="1" x14ac:dyDescent="0.2"/>
    <row r="4761" ht="16.5" customHeight="1" x14ac:dyDescent="0.2"/>
    <row r="4762" ht="16.5" customHeight="1" x14ac:dyDescent="0.2"/>
    <row r="4763" ht="16.5" customHeight="1" x14ac:dyDescent="0.2"/>
    <row r="4764" ht="16.5" customHeight="1" x14ac:dyDescent="0.2"/>
    <row r="4765" ht="16.5" customHeight="1" x14ac:dyDescent="0.2"/>
    <row r="4766" ht="16.5" customHeight="1" x14ac:dyDescent="0.2"/>
    <row r="4767" ht="16.5" customHeight="1" x14ac:dyDescent="0.2"/>
    <row r="4768" ht="16.5" customHeight="1" x14ac:dyDescent="0.2"/>
    <row r="4769" ht="16.5" customHeight="1" x14ac:dyDescent="0.2"/>
    <row r="4770" ht="16.5" customHeight="1" x14ac:dyDescent="0.2"/>
    <row r="4771" ht="16.5" customHeight="1" x14ac:dyDescent="0.2"/>
    <row r="4772" ht="16.5" customHeight="1" x14ac:dyDescent="0.2"/>
    <row r="4773" ht="16.5" customHeight="1" x14ac:dyDescent="0.2"/>
    <row r="4774" ht="16.5" customHeight="1" x14ac:dyDescent="0.2"/>
    <row r="4775" ht="16.5" customHeight="1" x14ac:dyDescent="0.2"/>
    <row r="4776" ht="16.5" customHeight="1" x14ac:dyDescent="0.2"/>
    <row r="4777" ht="16.5" customHeight="1" x14ac:dyDescent="0.2"/>
    <row r="4778" ht="16.5" customHeight="1" x14ac:dyDescent="0.2"/>
    <row r="4779" ht="16.5" customHeight="1" x14ac:dyDescent="0.2"/>
    <row r="4780" ht="16.5" customHeight="1" x14ac:dyDescent="0.2"/>
    <row r="4781" ht="16.5" customHeight="1" x14ac:dyDescent="0.2"/>
    <row r="4782" ht="16.5" customHeight="1" x14ac:dyDescent="0.2"/>
    <row r="4783" ht="16.5" customHeight="1" x14ac:dyDescent="0.2"/>
    <row r="4784" ht="16.5" customHeight="1" x14ac:dyDescent="0.2"/>
    <row r="4785" ht="16.5" customHeight="1" x14ac:dyDescent="0.2"/>
    <row r="4786" ht="16.5" customHeight="1" x14ac:dyDescent="0.2"/>
    <row r="4787" ht="16.5" customHeight="1" x14ac:dyDescent="0.2"/>
    <row r="4788" ht="16.5" customHeight="1" x14ac:dyDescent="0.2"/>
    <row r="4789" ht="16.5" customHeight="1" x14ac:dyDescent="0.2"/>
    <row r="4790" ht="16.5" customHeight="1" x14ac:dyDescent="0.2"/>
    <row r="4791" ht="16.5" customHeight="1" x14ac:dyDescent="0.2"/>
    <row r="4792" ht="16.5" customHeight="1" x14ac:dyDescent="0.2"/>
    <row r="4793" ht="16.5" customHeight="1" x14ac:dyDescent="0.2"/>
    <row r="4794" ht="16.5" customHeight="1" x14ac:dyDescent="0.2"/>
    <row r="4795" ht="16.5" customHeight="1" x14ac:dyDescent="0.2"/>
    <row r="4796" ht="16.5" customHeight="1" x14ac:dyDescent="0.2"/>
    <row r="4797" ht="16.5" customHeight="1" x14ac:dyDescent="0.2"/>
    <row r="4798" ht="16.5" customHeight="1" x14ac:dyDescent="0.2"/>
    <row r="4799" ht="16.5" customHeight="1" x14ac:dyDescent="0.2"/>
    <row r="4800" ht="16.5" customHeight="1" x14ac:dyDescent="0.2"/>
    <row r="4801" ht="16.5" customHeight="1" x14ac:dyDescent="0.2"/>
    <row r="4802" ht="16.5" customHeight="1" x14ac:dyDescent="0.2"/>
    <row r="4803" ht="16.5" customHeight="1" x14ac:dyDescent="0.2"/>
    <row r="4804" ht="16.5" customHeight="1" x14ac:dyDescent="0.2"/>
    <row r="4805" ht="16.5" customHeight="1" x14ac:dyDescent="0.2"/>
    <row r="4806" ht="16.5" customHeight="1" x14ac:dyDescent="0.2"/>
    <row r="4807" ht="16.5" customHeight="1" x14ac:dyDescent="0.2"/>
    <row r="4808" ht="16.5" customHeight="1" x14ac:dyDescent="0.2"/>
    <row r="4809" ht="16.5" customHeight="1" x14ac:dyDescent="0.2"/>
    <row r="4810" ht="16.5" customHeight="1" x14ac:dyDescent="0.2"/>
    <row r="4811" ht="16.5" customHeight="1" x14ac:dyDescent="0.2"/>
    <row r="4812" ht="16.5" customHeight="1" x14ac:dyDescent="0.2"/>
    <row r="4813" ht="16.5" customHeight="1" x14ac:dyDescent="0.2"/>
    <row r="4814" ht="16.5" customHeight="1" x14ac:dyDescent="0.2"/>
    <row r="4815" ht="16.5" customHeight="1" x14ac:dyDescent="0.2"/>
    <row r="4816" ht="16.5" customHeight="1" x14ac:dyDescent="0.2"/>
    <row r="4817" ht="16.5" customHeight="1" x14ac:dyDescent="0.2"/>
    <row r="4818" ht="16.5" customHeight="1" x14ac:dyDescent="0.2"/>
    <row r="4819" ht="16.5" customHeight="1" x14ac:dyDescent="0.2"/>
    <row r="4820" ht="16.5" customHeight="1" x14ac:dyDescent="0.2"/>
    <row r="4821" ht="16.5" customHeight="1" x14ac:dyDescent="0.2"/>
    <row r="4822" ht="16.5" customHeight="1" x14ac:dyDescent="0.2"/>
    <row r="4823" ht="16.5" customHeight="1" x14ac:dyDescent="0.2"/>
    <row r="4824" ht="16.5" customHeight="1" x14ac:dyDescent="0.2"/>
    <row r="4825" ht="16.5" customHeight="1" x14ac:dyDescent="0.2"/>
    <row r="4826" ht="16.5" customHeight="1" x14ac:dyDescent="0.2"/>
    <row r="4827" ht="16.5" customHeight="1" x14ac:dyDescent="0.2"/>
    <row r="4828" ht="16.5" customHeight="1" x14ac:dyDescent="0.2"/>
    <row r="4829" ht="16.5" customHeight="1" x14ac:dyDescent="0.2"/>
    <row r="4830" ht="16.5" customHeight="1" x14ac:dyDescent="0.2"/>
    <row r="4831" ht="16.5" customHeight="1" x14ac:dyDescent="0.2"/>
    <row r="4832" ht="16.5" customHeight="1" x14ac:dyDescent="0.2"/>
    <row r="4833" ht="16.5" customHeight="1" x14ac:dyDescent="0.2"/>
    <row r="4834" ht="16.5" customHeight="1" x14ac:dyDescent="0.2"/>
    <row r="4835" ht="16.5" customHeight="1" x14ac:dyDescent="0.2"/>
    <row r="4836" ht="16.5" customHeight="1" x14ac:dyDescent="0.2"/>
    <row r="4837" ht="16.5" customHeight="1" x14ac:dyDescent="0.2"/>
    <row r="4838" ht="16.5" customHeight="1" x14ac:dyDescent="0.2"/>
    <row r="4839" ht="16.5" customHeight="1" x14ac:dyDescent="0.2"/>
    <row r="4840" ht="16.5" customHeight="1" x14ac:dyDescent="0.2"/>
    <row r="4841" ht="16.5" customHeight="1" x14ac:dyDescent="0.2"/>
    <row r="4842" ht="16.5" customHeight="1" x14ac:dyDescent="0.2"/>
    <row r="4843" ht="16.5" customHeight="1" x14ac:dyDescent="0.2"/>
    <row r="4844" ht="16.5" customHeight="1" x14ac:dyDescent="0.2"/>
    <row r="4845" ht="16.5" customHeight="1" x14ac:dyDescent="0.2"/>
    <row r="4846" ht="16.5" customHeight="1" x14ac:dyDescent="0.2"/>
    <row r="4847" ht="16.5" customHeight="1" x14ac:dyDescent="0.2"/>
    <row r="4848" ht="16.5" customHeight="1" x14ac:dyDescent="0.2"/>
    <row r="4849" ht="16.5" customHeight="1" x14ac:dyDescent="0.2"/>
    <row r="4850" ht="16.5" customHeight="1" x14ac:dyDescent="0.2"/>
    <row r="4851" ht="16.5" customHeight="1" x14ac:dyDescent="0.2"/>
    <row r="4852" ht="16.5" customHeight="1" x14ac:dyDescent="0.2"/>
    <row r="4853" ht="16.5" customHeight="1" x14ac:dyDescent="0.2"/>
    <row r="4854" ht="16.5" customHeight="1" x14ac:dyDescent="0.2"/>
    <row r="4855" ht="16.5" customHeight="1" x14ac:dyDescent="0.2"/>
    <row r="4856" ht="16.5" customHeight="1" x14ac:dyDescent="0.2"/>
    <row r="4857" ht="16.5" customHeight="1" x14ac:dyDescent="0.2"/>
    <row r="4858" ht="16.5" customHeight="1" x14ac:dyDescent="0.2"/>
    <row r="4859" ht="16.5" customHeight="1" x14ac:dyDescent="0.2"/>
    <row r="4860" ht="16.5" customHeight="1" x14ac:dyDescent="0.2"/>
    <row r="4861" ht="16.5" customHeight="1" x14ac:dyDescent="0.2"/>
    <row r="4862" ht="16.5" customHeight="1" x14ac:dyDescent="0.2"/>
    <row r="4863" ht="16.5" customHeight="1" x14ac:dyDescent="0.2"/>
    <row r="4864" ht="16.5" customHeight="1" x14ac:dyDescent="0.2"/>
    <row r="4865" ht="16.5" customHeight="1" x14ac:dyDescent="0.2"/>
    <row r="4866" ht="16.5" customHeight="1" x14ac:dyDescent="0.2"/>
    <row r="4867" ht="16.5" customHeight="1" x14ac:dyDescent="0.2"/>
    <row r="4868" ht="16.5" customHeight="1" x14ac:dyDescent="0.2"/>
    <row r="4869" ht="16.5" customHeight="1" x14ac:dyDescent="0.2"/>
    <row r="4870" ht="16.5" customHeight="1" x14ac:dyDescent="0.2"/>
    <row r="4871" ht="16.5" customHeight="1" x14ac:dyDescent="0.2"/>
    <row r="4872" ht="16.5" customHeight="1" x14ac:dyDescent="0.2"/>
    <row r="4873" ht="16.5" customHeight="1" x14ac:dyDescent="0.2"/>
    <row r="4874" ht="16.5" customHeight="1" x14ac:dyDescent="0.2"/>
    <row r="4875" ht="16.5" customHeight="1" x14ac:dyDescent="0.2"/>
    <row r="4876" ht="16.5" customHeight="1" x14ac:dyDescent="0.2"/>
    <row r="4877" ht="16.5" customHeight="1" x14ac:dyDescent="0.2"/>
    <row r="4878" ht="16.5" customHeight="1" x14ac:dyDescent="0.2"/>
    <row r="4879" ht="16.5" customHeight="1" x14ac:dyDescent="0.2"/>
    <row r="4880" ht="16.5" customHeight="1" x14ac:dyDescent="0.2"/>
    <row r="4881" ht="16.5" customHeight="1" x14ac:dyDescent="0.2"/>
    <row r="4882" ht="16.5" customHeight="1" x14ac:dyDescent="0.2"/>
    <row r="4883" ht="16.5" customHeight="1" x14ac:dyDescent="0.2"/>
    <row r="4884" ht="16.5" customHeight="1" x14ac:dyDescent="0.2"/>
    <row r="4885" ht="16.5" customHeight="1" x14ac:dyDescent="0.2"/>
    <row r="4886" ht="16.5" customHeight="1" x14ac:dyDescent="0.2"/>
    <row r="4887" ht="16.5" customHeight="1" x14ac:dyDescent="0.2"/>
    <row r="4888" ht="16.5" customHeight="1" x14ac:dyDescent="0.2"/>
    <row r="4889" ht="16.5" customHeight="1" x14ac:dyDescent="0.2"/>
    <row r="4890" ht="16.5" customHeight="1" x14ac:dyDescent="0.2"/>
    <row r="4891" ht="16.5" customHeight="1" x14ac:dyDescent="0.2"/>
    <row r="4892" ht="16.5" customHeight="1" x14ac:dyDescent="0.2"/>
    <row r="4893" ht="16.5" customHeight="1" x14ac:dyDescent="0.2"/>
    <row r="4894" ht="16.5" customHeight="1" x14ac:dyDescent="0.2"/>
    <row r="4895" ht="16.5" customHeight="1" x14ac:dyDescent="0.2"/>
    <row r="4896" ht="16.5" customHeight="1" x14ac:dyDescent="0.2"/>
    <row r="4897" ht="16.5" customHeight="1" x14ac:dyDescent="0.2"/>
    <row r="4898" ht="16.5" customHeight="1" x14ac:dyDescent="0.2"/>
    <row r="4899" ht="16.5" customHeight="1" x14ac:dyDescent="0.2"/>
    <row r="4900" ht="16.5" customHeight="1" x14ac:dyDescent="0.2"/>
    <row r="4901" ht="16.5" customHeight="1" x14ac:dyDescent="0.2"/>
    <row r="4902" ht="16.5" customHeight="1" x14ac:dyDescent="0.2"/>
    <row r="4903" ht="16.5" customHeight="1" x14ac:dyDescent="0.2"/>
    <row r="4904" ht="16.5" customHeight="1" x14ac:dyDescent="0.2"/>
    <row r="4905" ht="16.5" customHeight="1" x14ac:dyDescent="0.2"/>
    <row r="4906" ht="16.5" customHeight="1" x14ac:dyDescent="0.2"/>
    <row r="4907" ht="16.5" customHeight="1" x14ac:dyDescent="0.2"/>
    <row r="4908" ht="16.5" customHeight="1" x14ac:dyDescent="0.2"/>
    <row r="4909" ht="16.5" customHeight="1" x14ac:dyDescent="0.2"/>
    <row r="4910" ht="16.5" customHeight="1" x14ac:dyDescent="0.2"/>
    <row r="4911" ht="16.5" customHeight="1" x14ac:dyDescent="0.2"/>
    <row r="4912" ht="16.5" customHeight="1" x14ac:dyDescent="0.2"/>
    <row r="4913" ht="16.5" customHeight="1" x14ac:dyDescent="0.2"/>
    <row r="4914" ht="16.5" customHeight="1" x14ac:dyDescent="0.2"/>
    <row r="4915" ht="16.5" customHeight="1" x14ac:dyDescent="0.2"/>
    <row r="4916" ht="16.5" customHeight="1" x14ac:dyDescent="0.2"/>
    <row r="4917" ht="16.5" customHeight="1" x14ac:dyDescent="0.2"/>
    <row r="4918" ht="16.5" customHeight="1" x14ac:dyDescent="0.2"/>
    <row r="4919" ht="16.5" customHeight="1" x14ac:dyDescent="0.2"/>
    <row r="4920" ht="16.5" customHeight="1" x14ac:dyDescent="0.2"/>
    <row r="4921" ht="16.5" customHeight="1" x14ac:dyDescent="0.2"/>
    <row r="4922" ht="16.5" customHeight="1" x14ac:dyDescent="0.2"/>
    <row r="4923" ht="16.5" customHeight="1" x14ac:dyDescent="0.2"/>
    <row r="4924" ht="16.5" customHeight="1" x14ac:dyDescent="0.2"/>
    <row r="4925" ht="16.5" customHeight="1" x14ac:dyDescent="0.2"/>
    <row r="4926" ht="16.5" customHeight="1" x14ac:dyDescent="0.2"/>
    <row r="4927" ht="16.5" customHeight="1" x14ac:dyDescent="0.2"/>
    <row r="4928" ht="16.5" customHeight="1" x14ac:dyDescent="0.2"/>
    <row r="4929" ht="16.5" customHeight="1" x14ac:dyDescent="0.2"/>
    <row r="4930" ht="16.5" customHeight="1" x14ac:dyDescent="0.2"/>
    <row r="4931" ht="16.5" customHeight="1" x14ac:dyDescent="0.2"/>
    <row r="4932" ht="16.5" customHeight="1" x14ac:dyDescent="0.2"/>
    <row r="4933" ht="16.5" customHeight="1" x14ac:dyDescent="0.2"/>
    <row r="4934" ht="16.5" customHeight="1" x14ac:dyDescent="0.2"/>
    <row r="4935" ht="16.5" customHeight="1" x14ac:dyDescent="0.2"/>
    <row r="4936" ht="16.5" customHeight="1" x14ac:dyDescent="0.2"/>
    <row r="4937" ht="16.5" customHeight="1" x14ac:dyDescent="0.2"/>
    <row r="4938" ht="16.5" customHeight="1" x14ac:dyDescent="0.2"/>
    <row r="4939" ht="16.5" customHeight="1" x14ac:dyDescent="0.2"/>
    <row r="4940" ht="16.5" customHeight="1" x14ac:dyDescent="0.2"/>
    <row r="4941" ht="16.5" customHeight="1" x14ac:dyDescent="0.2"/>
    <row r="4942" ht="16.5" customHeight="1" x14ac:dyDescent="0.2"/>
    <row r="4943" ht="16.5" customHeight="1" x14ac:dyDescent="0.2"/>
    <row r="4944" ht="16.5" customHeight="1" x14ac:dyDescent="0.2"/>
    <row r="4945" ht="16.5" customHeight="1" x14ac:dyDescent="0.2"/>
    <row r="4946" ht="16.5" customHeight="1" x14ac:dyDescent="0.2"/>
    <row r="4947" ht="16.5" customHeight="1" x14ac:dyDescent="0.2"/>
    <row r="4948" ht="16.5" customHeight="1" x14ac:dyDescent="0.2"/>
    <row r="4949" ht="16.5" customHeight="1" x14ac:dyDescent="0.2"/>
    <row r="4950" ht="16.5" customHeight="1" x14ac:dyDescent="0.2"/>
    <row r="4951" ht="16.5" customHeight="1" x14ac:dyDescent="0.2"/>
    <row r="4952" ht="16.5" customHeight="1" x14ac:dyDescent="0.2"/>
    <row r="4953" ht="16.5" customHeight="1" x14ac:dyDescent="0.2"/>
    <row r="4954" ht="16.5" customHeight="1" x14ac:dyDescent="0.2"/>
    <row r="4955" ht="16.5" customHeight="1" x14ac:dyDescent="0.2"/>
    <row r="4956" ht="16.5" customHeight="1" x14ac:dyDescent="0.2"/>
    <row r="4957" ht="16.5" customHeight="1" x14ac:dyDescent="0.2"/>
    <row r="4958" ht="16.5" customHeight="1" x14ac:dyDescent="0.2"/>
    <row r="4959" ht="16.5" customHeight="1" x14ac:dyDescent="0.2"/>
    <row r="4960" ht="16.5" customHeight="1" x14ac:dyDescent="0.2"/>
    <row r="4961" ht="16.5" customHeight="1" x14ac:dyDescent="0.2"/>
    <row r="4962" ht="16.5" customHeight="1" x14ac:dyDescent="0.2"/>
    <row r="4963" ht="16.5" customHeight="1" x14ac:dyDescent="0.2"/>
    <row r="4964" ht="16.5" customHeight="1" x14ac:dyDescent="0.2"/>
    <row r="4965" ht="16.5" customHeight="1" x14ac:dyDescent="0.2"/>
    <row r="4966" ht="16.5" customHeight="1" x14ac:dyDescent="0.2"/>
    <row r="4967" ht="16.5" customHeight="1" x14ac:dyDescent="0.2"/>
    <row r="4968" ht="16.5" customHeight="1" x14ac:dyDescent="0.2"/>
    <row r="4969" ht="16.5" customHeight="1" x14ac:dyDescent="0.2"/>
    <row r="4970" ht="16.5" customHeight="1" x14ac:dyDescent="0.2"/>
    <row r="4971" ht="16.5" customHeight="1" x14ac:dyDescent="0.2"/>
    <row r="4972" ht="16.5" customHeight="1" x14ac:dyDescent="0.2"/>
    <row r="4973" ht="16.5" customHeight="1" x14ac:dyDescent="0.2"/>
    <row r="4974" ht="16.5" customHeight="1" x14ac:dyDescent="0.2"/>
    <row r="4975" ht="16.5" customHeight="1" x14ac:dyDescent="0.2"/>
    <row r="4976" ht="16.5" customHeight="1" x14ac:dyDescent="0.2"/>
    <row r="4977" ht="16.5" customHeight="1" x14ac:dyDescent="0.2"/>
    <row r="4978" ht="16.5" customHeight="1" x14ac:dyDescent="0.2"/>
    <row r="4979" ht="16.5" customHeight="1" x14ac:dyDescent="0.2"/>
    <row r="4980" ht="16.5" customHeight="1" x14ac:dyDescent="0.2"/>
    <row r="4981" ht="16.5" customHeight="1" x14ac:dyDescent="0.2"/>
    <row r="4982" ht="16.5" customHeight="1" x14ac:dyDescent="0.2"/>
    <row r="4983" ht="16.5" customHeight="1" x14ac:dyDescent="0.2"/>
    <row r="4984" ht="16.5" customHeight="1" x14ac:dyDescent="0.2"/>
    <row r="4985" ht="16.5" customHeight="1" x14ac:dyDescent="0.2"/>
    <row r="4986" ht="16.5" customHeight="1" x14ac:dyDescent="0.2"/>
    <row r="4987" ht="16.5" customHeight="1" x14ac:dyDescent="0.2"/>
    <row r="4988" ht="16.5" customHeight="1" x14ac:dyDescent="0.2"/>
    <row r="4989" ht="16.5" customHeight="1" x14ac:dyDescent="0.2"/>
    <row r="4990" ht="16.5" customHeight="1" x14ac:dyDescent="0.2"/>
    <row r="4991" ht="16.5" customHeight="1" x14ac:dyDescent="0.2"/>
    <row r="4992" ht="16.5" customHeight="1" x14ac:dyDescent="0.2"/>
    <row r="4993" ht="16.5" customHeight="1" x14ac:dyDescent="0.2"/>
    <row r="4994" ht="16.5" customHeight="1" x14ac:dyDescent="0.2"/>
    <row r="4995" ht="16.5" customHeight="1" x14ac:dyDescent="0.2"/>
    <row r="4996" ht="16.5" customHeight="1" x14ac:dyDescent="0.2"/>
    <row r="4997" ht="16.5" customHeight="1" x14ac:dyDescent="0.2"/>
    <row r="4998" ht="16.5" customHeight="1" x14ac:dyDescent="0.2"/>
    <row r="4999" ht="16.5" customHeight="1" x14ac:dyDescent="0.2"/>
  </sheetData>
  <autoFilter ref="A4:Q25"/>
  <mergeCells count="4">
    <mergeCell ref="B2:F2"/>
    <mergeCell ref="B3:D3"/>
    <mergeCell ref="G3:H3"/>
    <mergeCell ref="I3:J3"/>
  </mergeCells>
  <phoneticPr fontId="25" type="noConversion"/>
  <pageMargins left="0.43263888888888902" right="0.43263888888888902" top="0.59027777777777801" bottom="0.59027777777777801" header="0.31388888888888899" footer="0.31388888888888899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OFFSET(元件库!$B$1,MATCH(D2&amp;"*",元件库!$B:$B,0)-1,,IF(COUNTIF(元件库!$B:$B,D2&amp;"*")&gt;1,40,1))</xm:f>
          </x14:formula1>
          <xm:sqref>D2:D4999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9"/>
  <dimension ref="A1:T48"/>
  <sheetViews>
    <sheetView workbookViewId="0">
      <pane ySplit="1" topLeftCell="A2" activePane="bottomLeft" state="frozen"/>
      <selection activeCell="C27" sqref="C27"/>
      <selection pane="bottomLeft" activeCell="C28" sqref="C28"/>
    </sheetView>
  </sheetViews>
  <sheetFormatPr defaultColWidth="7" defaultRowHeight="12" x14ac:dyDescent="0.2"/>
  <cols>
    <col min="1" max="1" width="3.625" style="25" customWidth="1"/>
    <col min="2" max="2" width="14.125" style="154" customWidth="1"/>
    <col min="3" max="3" width="21.625" style="26" customWidth="1"/>
    <col min="4" max="4" width="11.625" style="27" customWidth="1"/>
    <col min="5" max="6" width="4.125" style="27" customWidth="1"/>
    <col min="7" max="8" width="9.625" style="28" customWidth="1"/>
    <col min="9" max="9" width="14.625" style="29" customWidth="1"/>
    <col min="10" max="10" width="4.625" style="25" customWidth="1"/>
    <col min="11" max="11" width="8.125" style="28" customWidth="1"/>
    <col min="12" max="12" width="5.125" style="28" customWidth="1"/>
    <col min="13" max="13" width="8.125" style="28" customWidth="1"/>
    <col min="14" max="14" width="3.625" style="24" customWidth="1"/>
    <col min="15" max="15" width="4.625" style="2" customWidth="1"/>
    <col min="16" max="16" width="4.625" style="24" customWidth="1"/>
    <col min="17" max="19" width="4.625" style="31" customWidth="1"/>
    <col min="20" max="23" width="4.625" style="30" customWidth="1"/>
    <col min="24" max="16384" width="7" style="30"/>
  </cols>
  <sheetData>
    <row r="1" spans="1:20" s="214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8" t="s">
        <v>140</v>
      </c>
      <c r="O1" s="281" t="s">
        <v>18</v>
      </c>
      <c r="P1" s="282">
        <v>1.1200000000000001</v>
      </c>
      <c r="Q1" s="281" t="s">
        <v>2342</v>
      </c>
      <c r="R1" s="282">
        <v>0.06</v>
      </c>
      <c r="S1" s="282" t="s">
        <v>80</v>
      </c>
      <c r="T1" s="282">
        <v>0</v>
      </c>
    </row>
    <row r="2" spans="1:20" ht="16.5" customHeight="1" x14ac:dyDescent="0.15">
      <c r="A2" s="32">
        <f>COUNTIF($J$1:J2,"!")</f>
        <v>1</v>
      </c>
      <c r="B2" s="33" t="s">
        <v>190</v>
      </c>
      <c r="C2" s="63"/>
      <c r="D2" s="35"/>
      <c r="E2" s="34" t="s">
        <v>23</v>
      </c>
      <c r="F2" s="35">
        <v>1</v>
      </c>
      <c r="G2" s="36">
        <f>ROUND(SUM(H3:H48),0)</f>
        <v>127990</v>
      </c>
      <c r="H2" s="37" t="str">
        <f>C3&amp;"-"&amp;O5</f>
        <v>ZGS-800KVA</v>
      </c>
      <c r="I2" s="47"/>
      <c r="J2" s="48" t="s">
        <v>24</v>
      </c>
      <c r="K2" s="49"/>
      <c r="L2" s="50"/>
      <c r="M2" s="51"/>
      <c r="O2" s="24"/>
      <c r="Q2" s="24"/>
      <c r="T2" s="31"/>
    </row>
    <row r="3" spans="1:20" ht="16.5" customHeight="1" x14ac:dyDescent="0.2">
      <c r="A3" s="38">
        <f>COUNTIF($J$1:J3,"!")</f>
        <v>1</v>
      </c>
      <c r="B3" s="39" t="str">
        <f>IFERROR(VLOOKUP(C3,元件库!$B:$O,3,FALSE),"")</f>
        <v>美变</v>
      </c>
      <c r="C3" s="40" t="s">
        <v>1930</v>
      </c>
      <c r="D3" s="155">
        <f>IFERROR(VLOOKUP(C3,元件库!$B:$O,2,FALSE),"")</f>
        <v>0</v>
      </c>
      <c r="E3" s="41" t="str">
        <f>IF(D3="上海铜排","米","只")</f>
        <v>只</v>
      </c>
      <c r="F3" s="41">
        <v>1</v>
      </c>
      <c r="G3" s="42">
        <f>IFERROR(J3*K3,"")</f>
        <v>0</v>
      </c>
      <c r="H3" s="42">
        <f>IFERROR(G3*F3,"")</f>
        <v>0</v>
      </c>
      <c r="I3" s="52"/>
      <c r="J3" s="53">
        <f>P$1</f>
        <v>1.1200000000000001</v>
      </c>
      <c r="K3" s="69">
        <f>IFERROR(M3*L3,"")</f>
        <v>0</v>
      </c>
      <c r="L3" s="55">
        <f>IFERROR(VLOOKUP(C3,元件库!$B:$O,10,FALSE),"1.00")</f>
        <v>1</v>
      </c>
      <c r="M3" s="71">
        <f>IFERROR(VLOOKUP(C3,元件库!$B:$O,11,FALSE),"")</f>
        <v>0</v>
      </c>
      <c r="N3" s="57" t="str">
        <f t="shared" ref="N3:N5" ca="1" si="0">IF(AND(ISNUMBER(FIND("IF",_xlfn.FORMULATEXT(L3))),ISNUMBER(FIND("IF",_xlfn.FORMULATEXT(M3)))),"","值")</f>
        <v/>
      </c>
      <c r="O3" s="30"/>
      <c r="P3" s="30"/>
      <c r="Q3" s="24" t="str">
        <f>IFERROR(((MID(C3,FIND(" ",C3)+1,FIND("*",C3)-FIND(" ",C3)-1)*MID(C3,FIND("*",C3)+1,FIND("*",MID(C3,FIND("*",C3)+1,30))-1))+(MID(C3,FIND(" ",C3)+1,FIND("*",C3)-FIND(" ",C3)-1)*MID(C3,FIND("*",C3)+1+FIND("*",MID(C3,FIND("*",C3)+1,30)),30))+(MID(C3,FIND("*",C3)+1,FIND("*",MID(C3,FIND("*",C3)+1,30))-1)*MID(C3,FIND("*",C3)+1+FIND("*",MID(C3,FIND("*",C3)+1,30)),30)))/500000+IFERROR(IF(ROUND(MID(C3,FIND("*",C3)+FIND("*",MID(C3,FIND("*",C3)+1,30))+1,10),0)&gt;=350,(MID(C3,FIND(" ",C3)+1,FIND("*",C3)-FIND(" ",C3)-1)*MID(C3,FIND("*",C3)+1,FIND("*",MID(C3,FIND("*",C3)+1,30))-1))/2000000,(MID(C3,FIND(" ",C3)+1,FIND("*",C3)-FIND(" ",C3)-1)*MID(C3,FIND("*",C3)+1,FIND("*",MID(C3,FIND("*",C3)+1,30))-1))/1000000),""),"")</f>
        <v/>
      </c>
      <c r="R3" s="30"/>
      <c r="T3" s="31"/>
    </row>
    <row r="4" spans="1:20" s="60" customFormat="1" ht="16.5" customHeight="1" x14ac:dyDescent="0.2">
      <c r="A4" s="38">
        <f>COUNTIF($J$1:J4,"!")</f>
        <v>1</v>
      </c>
      <c r="B4" s="39" t="s">
        <v>191</v>
      </c>
      <c r="C4" s="64"/>
      <c r="D4" s="155" t="str">
        <f>IFERROR(VLOOKUP(C4,元件库!$B:$O,2,FALSE),"")</f>
        <v/>
      </c>
      <c r="E4" s="41" t="s">
        <v>48</v>
      </c>
      <c r="F4" s="65">
        <v>1</v>
      </c>
      <c r="G4" s="42">
        <f>IFERROR(J4*K4,"")</f>
        <v>6160.0000000000009</v>
      </c>
      <c r="H4" s="42">
        <f>IFERROR(G4*F4,"")</f>
        <v>6160.0000000000009</v>
      </c>
      <c r="I4" s="72"/>
      <c r="J4" s="53">
        <f>P$1</f>
        <v>1.1200000000000001</v>
      </c>
      <c r="K4" s="73">
        <f>IFERROR(M4*L4,"")</f>
        <v>5500</v>
      </c>
      <c r="L4" s="55" t="str">
        <f>IFERROR(VLOOKUP(C4,元件库!$B:$O,10,FALSE),"1.00")</f>
        <v>1.00</v>
      </c>
      <c r="M4" s="71">
        <v>5500</v>
      </c>
      <c r="N4" s="57" t="str">
        <f t="shared" ca="1" si="0"/>
        <v>值</v>
      </c>
      <c r="O4" s="30"/>
      <c r="P4" s="24"/>
      <c r="Q4" s="24"/>
    </row>
    <row r="5" spans="1:20" s="60" customFormat="1" ht="16.5" customHeight="1" x14ac:dyDescent="0.2">
      <c r="A5" s="38">
        <f>COUNTIF($J$1:J5,"!")</f>
        <v>1</v>
      </c>
      <c r="B5" s="39" t="str">
        <f>IFERROR(VLOOKUP(C5,元件库!$B:$O,3,FALSE),"")</f>
        <v>变压器</v>
      </c>
      <c r="C5" s="64" t="s">
        <v>2138</v>
      </c>
      <c r="D5" s="155">
        <f>IFERROR(VLOOKUP(C5,元件库!$B:$O,2,FALSE),"")</f>
        <v>0</v>
      </c>
      <c r="E5" s="41" t="str">
        <f>IF(D5="上海铜排","米","只")</f>
        <v>只</v>
      </c>
      <c r="F5" s="65">
        <v>1</v>
      </c>
      <c r="G5" s="42">
        <f>IFERROR(J5*K5,"")</f>
        <v>69776</v>
      </c>
      <c r="H5" s="42">
        <f>IFERROR(G5*F5,"")</f>
        <v>69776</v>
      </c>
      <c r="I5" s="72"/>
      <c r="J5" s="53">
        <f>P$1</f>
        <v>1.1200000000000001</v>
      </c>
      <c r="K5" s="73">
        <f>IFERROR(M5*L5,"")</f>
        <v>62300</v>
      </c>
      <c r="L5" s="55">
        <f>IFERROR(VLOOKUP(C5,元件库!$B:$O,10,FALSE),"1.00")</f>
        <v>1</v>
      </c>
      <c r="M5" s="71">
        <f>IFERROR(VLOOKUP(C5,元件库!$B:$O,11,FALSE),"")</f>
        <v>62300</v>
      </c>
      <c r="N5" s="57" t="str">
        <f t="shared" ca="1" si="0"/>
        <v/>
      </c>
      <c r="O5" s="30" t="str">
        <f>MID(C5,FIND("M",C5)+2,FIND(" ",C5)-FIND("M",C5)-2)</f>
        <v>800KVA</v>
      </c>
      <c r="P5" s="24"/>
      <c r="Q5" s="24"/>
    </row>
    <row r="6" spans="1:20" s="24" customFormat="1" ht="16.5" customHeight="1" x14ac:dyDescent="0.2">
      <c r="A6" s="38">
        <f>COUNTIF($J$1:J6,"!")</f>
        <v>1</v>
      </c>
      <c r="B6" s="45" t="s">
        <v>193</v>
      </c>
      <c r="C6" s="43"/>
      <c r="D6" s="41"/>
      <c r="E6" s="41"/>
      <c r="F6" s="41"/>
      <c r="G6" s="42"/>
      <c r="H6" s="42">
        <f>K6*L6</f>
        <v>0</v>
      </c>
      <c r="I6" s="52"/>
      <c r="J6" s="53"/>
      <c r="K6" s="54">
        <f>SUMIF(A$2:A5,A6,H$2:H5)</f>
        <v>75936</v>
      </c>
      <c r="L6" s="278">
        <f>IF(J3&gt;1,0,R$1)</f>
        <v>0</v>
      </c>
      <c r="M6" s="56"/>
      <c r="N6" s="57"/>
      <c r="O6" s="62"/>
      <c r="P6" s="30"/>
      <c r="R6" s="31"/>
      <c r="S6" s="31"/>
      <c r="T6" s="31"/>
    </row>
    <row r="7" spans="1:20" ht="16.5" customHeight="1" x14ac:dyDescent="0.2">
      <c r="A7" s="38">
        <f>COUNTIF($J$1:J7,"!")</f>
        <v>1</v>
      </c>
      <c r="B7" s="45" t="s">
        <v>194</v>
      </c>
      <c r="C7" s="43"/>
      <c r="D7" s="41"/>
      <c r="E7" s="41"/>
      <c r="F7" s="41"/>
      <c r="G7" s="46"/>
      <c r="H7" s="42">
        <f>K7*L7</f>
        <v>0</v>
      </c>
      <c r="I7" s="52"/>
      <c r="J7" s="53"/>
      <c r="K7" s="54">
        <f>SUMIF(A$2:A6,A7,H$2:H6)</f>
        <v>75936</v>
      </c>
      <c r="L7" s="74"/>
      <c r="M7" s="75"/>
      <c r="N7" s="57"/>
      <c r="O7" s="24"/>
      <c r="P7" s="2"/>
      <c r="Q7" s="24"/>
      <c r="T7" s="31"/>
    </row>
    <row r="8" spans="1:20" ht="16.5" customHeight="1" x14ac:dyDescent="0.2">
      <c r="A8" s="66"/>
      <c r="B8" s="45"/>
      <c r="C8" s="43"/>
      <c r="D8" s="101"/>
      <c r="E8" s="41"/>
      <c r="F8" s="41"/>
      <c r="G8" s="46"/>
      <c r="H8" s="42"/>
      <c r="I8" s="52"/>
      <c r="J8" s="52"/>
      <c r="K8" s="76"/>
      <c r="L8" s="77"/>
      <c r="M8" s="76"/>
      <c r="N8" s="57"/>
      <c r="O8" s="24"/>
      <c r="P8" s="2"/>
      <c r="Q8" s="24"/>
      <c r="T8" s="31"/>
    </row>
    <row r="9" spans="1:20" s="60" customFormat="1" ht="16.5" customHeight="1" x14ac:dyDescent="0.2">
      <c r="A9" s="38">
        <f>COUNTIF($J$1:J9,"!")</f>
        <v>1</v>
      </c>
      <c r="B9" s="39" t="str">
        <f>IFERROR(VLOOKUP(C9,元件库!$B:$O,3,FALSE),"")</f>
        <v/>
      </c>
      <c r="C9" s="64" t="s">
        <v>2139</v>
      </c>
      <c r="D9" s="155" t="str">
        <f>IFERROR(VLOOKUP(C9,元件库!$B:$O,2,FALSE),"")</f>
        <v/>
      </c>
      <c r="E9" s="41" t="str">
        <f t="shared" ref="E9:E23" si="1">IF(D9="上海铜排","米","只")</f>
        <v>只</v>
      </c>
      <c r="F9" s="65">
        <v>1</v>
      </c>
      <c r="G9" s="42" t="str">
        <f t="shared" ref="G9:G26" si="2">IFERROR(J9*K9,"")</f>
        <v/>
      </c>
      <c r="H9" s="42" t="str">
        <f t="shared" ref="H9:H26" si="3">IFERROR(G9*F9,"")</f>
        <v/>
      </c>
      <c r="I9" s="72"/>
      <c r="J9" s="53">
        <f t="shared" ref="J9:J42" si="4">P$1</f>
        <v>1.1200000000000001</v>
      </c>
      <c r="K9" s="73" t="str">
        <f t="shared" ref="K9:K26" si="5">IFERROR(M9*L9,"")</f>
        <v/>
      </c>
      <c r="L9" s="55" t="str">
        <f>IFERROR(VLOOKUP(C9,元件库!$B:$O,10,FALSE),"1.00")</f>
        <v>1.00</v>
      </c>
      <c r="M9" s="71" t="str">
        <f>IFERROR(VLOOKUP(C9,元件库!$B:$O,11,FALSE),"")</f>
        <v/>
      </c>
      <c r="N9" s="57" t="str">
        <f t="shared" ref="N9:N42" ca="1" si="6">IF(AND(ISNUMBER(FIND("IF",_xlfn.FORMULATEXT(L9))),ISNUMBER(FIND("IF",_xlfn.FORMULATEXT(M9)))),"","值")</f>
        <v/>
      </c>
      <c r="O9" s="30"/>
      <c r="P9" s="24"/>
      <c r="Q9" s="24"/>
    </row>
    <row r="10" spans="1:20" s="60" customFormat="1" ht="16.5" customHeight="1" x14ac:dyDescent="0.2">
      <c r="A10" s="38">
        <f>COUNTIF($J$1:J10,"!")</f>
        <v>1</v>
      </c>
      <c r="B10" s="39" t="str">
        <f>IFERROR(VLOOKUP(C10,元件库!$B:$O,3,FALSE),"")</f>
        <v/>
      </c>
      <c r="C10" s="64" t="s">
        <v>2140</v>
      </c>
      <c r="D10" s="155" t="str">
        <f>IFERROR(VLOOKUP(C10,元件库!$B:$O,2,FALSE),"")</f>
        <v/>
      </c>
      <c r="E10" s="41" t="str">
        <f t="shared" si="1"/>
        <v>只</v>
      </c>
      <c r="F10" s="65">
        <v>3</v>
      </c>
      <c r="G10" s="42" t="str">
        <f t="shared" si="2"/>
        <v/>
      </c>
      <c r="H10" s="42" t="str">
        <f t="shared" si="3"/>
        <v/>
      </c>
      <c r="I10" s="72"/>
      <c r="J10" s="53">
        <f t="shared" si="4"/>
        <v>1.1200000000000001</v>
      </c>
      <c r="K10" s="73" t="str">
        <f t="shared" si="5"/>
        <v/>
      </c>
      <c r="L10" s="55" t="str">
        <f>IFERROR(VLOOKUP(C10,元件库!$B:$O,10,FALSE),"1.00")</f>
        <v>1.00</v>
      </c>
      <c r="M10" s="71" t="str">
        <f>IFERROR(VLOOKUP(C10,元件库!$B:$O,11,FALSE),"")</f>
        <v/>
      </c>
      <c r="N10" s="57" t="str">
        <f t="shared" ca="1" si="6"/>
        <v/>
      </c>
      <c r="O10" s="30"/>
      <c r="P10" s="24"/>
      <c r="Q10" s="24"/>
    </row>
    <row r="11" spans="1:20" s="60" customFormat="1" ht="16.5" customHeight="1" x14ac:dyDescent="0.2">
      <c r="A11" s="38">
        <f>COUNTIF($J$1:J11,"!")</f>
        <v>1</v>
      </c>
      <c r="B11" s="39" t="str">
        <f>IFERROR(VLOOKUP(C11,元件库!$B:$O,3,FALSE),"")</f>
        <v/>
      </c>
      <c r="C11" s="64" t="s">
        <v>2141</v>
      </c>
      <c r="D11" s="155" t="str">
        <f>IFERROR(VLOOKUP(C11,元件库!$B:$O,2,FALSE),"")</f>
        <v/>
      </c>
      <c r="E11" s="41" t="str">
        <f t="shared" si="1"/>
        <v>只</v>
      </c>
      <c r="F11" s="65">
        <v>6</v>
      </c>
      <c r="G11" s="42" t="str">
        <f t="shared" si="2"/>
        <v/>
      </c>
      <c r="H11" s="42" t="str">
        <f t="shared" si="3"/>
        <v/>
      </c>
      <c r="I11" s="72"/>
      <c r="J11" s="53">
        <f t="shared" si="4"/>
        <v>1.1200000000000001</v>
      </c>
      <c r="K11" s="73" t="str">
        <f t="shared" si="5"/>
        <v/>
      </c>
      <c r="L11" s="55" t="str">
        <f>IFERROR(VLOOKUP(C11,元件库!$B:$O,10,FALSE),"1.00")</f>
        <v>1.00</v>
      </c>
      <c r="M11" s="71" t="str">
        <f>IFERROR(VLOOKUP(C11,元件库!$B:$O,11,FALSE),"")</f>
        <v/>
      </c>
      <c r="N11" s="57" t="str">
        <f t="shared" ca="1" si="6"/>
        <v/>
      </c>
      <c r="O11" s="30"/>
      <c r="P11" s="24"/>
      <c r="Q11" s="24"/>
    </row>
    <row r="12" spans="1:20" s="60" customFormat="1" ht="16.5" customHeight="1" x14ac:dyDescent="0.2">
      <c r="A12" s="38">
        <f>COUNTIF($J$1:J12,"!")</f>
        <v>1</v>
      </c>
      <c r="B12" s="39" t="str">
        <f>IFERROR(VLOOKUP(C12,元件库!$B:$O,3,FALSE),"")</f>
        <v>电流.电压表</v>
      </c>
      <c r="C12" s="64" t="s">
        <v>145</v>
      </c>
      <c r="D12" s="155" t="str">
        <f>IFERROR(VLOOKUP(C12,元件库!$B:$O,2,FALSE),"")</f>
        <v>精益联合集团</v>
      </c>
      <c r="E12" s="41" t="str">
        <f t="shared" si="1"/>
        <v>只</v>
      </c>
      <c r="F12" s="65">
        <v>3</v>
      </c>
      <c r="G12" s="42">
        <f t="shared" si="2"/>
        <v>15.400000000000004</v>
      </c>
      <c r="H12" s="42">
        <f t="shared" si="3"/>
        <v>46.20000000000001</v>
      </c>
      <c r="I12" s="72"/>
      <c r="J12" s="53">
        <f t="shared" si="4"/>
        <v>1.1200000000000001</v>
      </c>
      <c r="K12" s="73">
        <f t="shared" si="5"/>
        <v>13.750000000000002</v>
      </c>
      <c r="L12" s="55">
        <f>IFERROR(VLOOKUP(C12,元件库!$B:$O,10,FALSE),"1.00")</f>
        <v>0.55000000000000004</v>
      </c>
      <c r="M12" s="71">
        <f>IFERROR(VLOOKUP(C12,元件库!$B:$O,11,FALSE),"")</f>
        <v>25</v>
      </c>
      <c r="N12" s="57" t="str">
        <f t="shared" ca="1" si="6"/>
        <v/>
      </c>
      <c r="O12" s="30"/>
      <c r="P12" s="24"/>
      <c r="Q12" s="24"/>
    </row>
    <row r="13" spans="1:20" s="60" customFormat="1" ht="16.5" customHeight="1" x14ac:dyDescent="0.2">
      <c r="A13" s="38">
        <f>COUNTIF($J$1:J13,"!")</f>
        <v>1</v>
      </c>
      <c r="B13" s="39" t="str">
        <f>IFERROR(VLOOKUP(C13,元件库!$B:$O,3,FALSE),"")</f>
        <v>电流.电压表</v>
      </c>
      <c r="C13" s="64" t="s">
        <v>150</v>
      </c>
      <c r="D13" s="155" t="str">
        <f>IFERROR(VLOOKUP(C13,元件库!$B:$O,2,FALSE),"")</f>
        <v>精益联合集团</v>
      </c>
      <c r="E13" s="41" t="str">
        <f t="shared" si="1"/>
        <v>只</v>
      </c>
      <c r="F13" s="65">
        <v>1</v>
      </c>
      <c r="G13" s="42">
        <f t="shared" si="2"/>
        <v>15.400000000000004</v>
      </c>
      <c r="H13" s="42">
        <f t="shared" si="3"/>
        <v>15.400000000000004</v>
      </c>
      <c r="I13" s="72"/>
      <c r="J13" s="53">
        <f t="shared" si="4"/>
        <v>1.1200000000000001</v>
      </c>
      <c r="K13" s="73">
        <f t="shared" si="5"/>
        <v>13.750000000000002</v>
      </c>
      <c r="L13" s="55">
        <f>IFERROR(VLOOKUP(C13,元件库!$B:$O,10,FALSE),"1.00")</f>
        <v>0.55000000000000004</v>
      </c>
      <c r="M13" s="71">
        <f>IFERROR(VLOOKUP(C13,元件库!$B:$O,11,FALSE),"")</f>
        <v>25</v>
      </c>
      <c r="N13" s="57" t="str">
        <f t="shared" ca="1" si="6"/>
        <v/>
      </c>
      <c r="O13" s="30"/>
      <c r="P13" s="24"/>
      <c r="Q13" s="24"/>
    </row>
    <row r="14" spans="1:20" s="60" customFormat="1" ht="16.5" customHeight="1" x14ac:dyDescent="0.2">
      <c r="A14" s="38">
        <f>COUNTIF($J$1:J14,"!")</f>
        <v>1</v>
      </c>
      <c r="B14" s="39" t="str">
        <f>IFERROR(VLOOKUP(C14,元件库!$B:$O,3,FALSE),"")</f>
        <v/>
      </c>
      <c r="C14" s="64" t="s">
        <v>195</v>
      </c>
      <c r="D14" s="155" t="str">
        <f>IFERROR(VLOOKUP(C14,元件库!$B:$O,2,FALSE),"")</f>
        <v/>
      </c>
      <c r="E14" s="41" t="str">
        <f t="shared" si="1"/>
        <v>只</v>
      </c>
      <c r="F14" s="65">
        <v>1</v>
      </c>
      <c r="G14" s="42" t="str">
        <f t="shared" si="2"/>
        <v/>
      </c>
      <c r="H14" s="42" t="str">
        <f t="shared" si="3"/>
        <v/>
      </c>
      <c r="I14" s="72"/>
      <c r="J14" s="53">
        <f t="shared" si="4"/>
        <v>1.1200000000000001</v>
      </c>
      <c r="K14" s="73" t="str">
        <f t="shared" si="5"/>
        <v/>
      </c>
      <c r="L14" s="55" t="str">
        <f>IFERROR(VLOOKUP(C14,元件库!$B:$O,10,FALSE),"1.00")</f>
        <v>1.00</v>
      </c>
      <c r="M14" s="71" t="str">
        <f>IFERROR(VLOOKUP(C14,元件库!$B:$O,11,FALSE),"")</f>
        <v/>
      </c>
      <c r="N14" s="57" t="str">
        <f t="shared" ca="1" si="6"/>
        <v/>
      </c>
      <c r="O14" s="30"/>
      <c r="P14" s="24"/>
      <c r="Q14" s="24"/>
    </row>
    <row r="15" spans="1:20" s="23" customFormat="1" ht="16.5" customHeight="1" x14ac:dyDescent="0.2">
      <c r="A15" s="38">
        <f>COUNTIF($J$1:J15,"!")</f>
        <v>1</v>
      </c>
      <c r="B15" s="39" t="str">
        <f>IFERROR(VLOOKUP(C15,元件库!$B:$O,3,FALSE),"")</f>
        <v/>
      </c>
      <c r="C15" s="64" t="s">
        <v>34</v>
      </c>
      <c r="D15" s="155" t="str">
        <f>IFERROR(VLOOKUP(C15,元件库!$B:$O,2,FALSE),"")</f>
        <v/>
      </c>
      <c r="E15" s="41" t="str">
        <f t="shared" si="1"/>
        <v>只</v>
      </c>
      <c r="F15" s="65">
        <v>4</v>
      </c>
      <c r="G15" s="42" t="str">
        <f t="shared" si="2"/>
        <v/>
      </c>
      <c r="H15" s="42" t="str">
        <f t="shared" si="3"/>
        <v/>
      </c>
      <c r="I15" s="72"/>
      <c r="J15" s="53">
        <f t="shared" si="4"/>
        <v>1.1200000000000001</v>
      </c>
      <c r="K15" s="73" t="str">
        <f t="shared" si="5"/>
        <v/>
      </c>
      <c r="L15" s="55" t="str">
        <f>IFERROR(VLOOKUP(C15,元件库!$B:$O,10,FALSE),"1.00")</f>
        <v>1.00</v>
      </c>
      <c r="M15" s="71" t="str">
        <f>IFERROR(VLOOKUP(C15,元件库!$B:$O,11,FALSE),"")</f>
        <v/>
      </c>
      <c r="N15" s="57" t="str">
        <f t="shared" ca="1" si="6"/>
        <v/>
      </c>
      <c r="O15" s="30"/>
      <c r="P15" s="24"/>
      <c r="Q15" s="24"/>
    </row>
    <row r="16" spans="1:20" s="60" customFormat="1" ht="16.5" customHeight="1" x14ac:dyDescent="0.2">
      <c r="A16" s="38">
        <f>COUNTIF($J$1:J16,"!")</f>
        <v>1</v>
      </c>
      <c r="B16" s="39" t="str">
        <f>IFERROR(VLOOKUP(C16,元件库!$B:$O,3,FALSE),"")</f>
        <v>指示灯</v>
      </c>
      <c r="C16" s="64" t="s">
        <v>35</v>
      </c>
      <c r="D16" s="155" t="str">
        <f>IFERROR(VLOOKUP(C16,元件库!$B:$O,2,FALSE),"")</f>
        <v>精益联合集团</v>
      </c>
      <c r="E16" s="41" t="str">
        <f t="shared" si="1"/>
        <v>只</v>
      </c>
      <c r="F16" s="65">
        <v>3</v>
      </c>
      <c r="G16" s="42">
        <f t="shared" si="2"/>
        <v>2.5872000000000006</v>
      </c>
      <c r="H16" s="42">
        <f t="shared" si="3"/>
        <v>7.7616000000000014</v>
      </c>
      <c r="I16" s="72"/>
      <c r="J16" s="53">
        <f t="shared" si="4"/>
        <v>1.1200000000000001</v>
      </c>
      <c r="K16" s="73">
        <f t="shared" si="5"/>
        <v>2.3100000000000005</v>
      </c>
      <c r="L16" s="55">
        <f>IFERROR(VLOOKUP(C16,元件库!$B:$O,10,FALSE),"1.00")</f>
        <v>0.55000000000000004</v>
      </c>
      <c r="M16" s="71">
        <f>IFERROR(VLOOKUP(C16,元件库!$B:$O,11,FALSE),"")</f>
        <v>4.2</v>
      </c>
      <c r="N16" s="57" t="str">
        <f t="shared" ca="1" si="6"/>
        <v/>
      </c>
      <c r="O16" s="30"/>
      <c r="P16" s="24"/>
      <c r="Q16" s="24"/>
    </row>
    <row r="17" spans="1:18" s="60" customFormat="1" ht="16.5" customHeight="1" x14ac:dyDescent="0.2">
      <c r="A17" s="38">
        <f>COUNTIF($J$1:J17,"!")</f>
        <v>1</v>
      </c>
      <c r="B17" s="39" t="str">
        <f>IFERROR(VLOOKUP(C17,元件库!$B:$O,3,FALSE),"")</f>
        <v/>
      </c>
      <c r="C17" s="64" t="s">
        <v>70</v>
      </c>
      <c r="D17" s="155" t="str">
        <f>IFERROR(VLOOKUP(C17,元件库!$B:$O,2,FALSE),"")</f>
        <v/>
      </c>
      <c r="E17" s="41" t="str">
        <f t="shared" si="1"/>
        <v>只</v>
      </c>
      <c r="F17" s="65">
        <v>2</v>
      </c>
      <c r="G17" s="42" t="str">
        <f t="shared" si="2"/>
        <v/>
      </c>
      <c r="H17" s="42" t="str">
        <f t="shared" si="3"/>
        <v/>
      </c>
      <c r="I17" s="72"/>
      <c r="J17" s="53">
        <f t="shared" si="4"/>
        <v>1.1200000000000001</v>
      </c>
      <c r="K17" s="73" t="str">
        <f t="shared" si="5"/>
        <v/>
      </c>
      <c r="L17" s="55" t="str">
        <f>IFERROR(VLOOKUP(C17,元件库!$B:$O,10,FALSE),"1.00")</f>
        <v>1.00</v>
      </c>
      <c r="M17" s="71" t="str">
        <f>IFERROR(VLOOKUP(C17,元件库!$B:$O,11,FALSE),"")</f>
        <v/>
      </c>
      <c r="N17" s="57" t="str">
        <f t="shared" ca="1" si="6"/>
        <v/>
      </c>
      <c r="O17" s="30"/>
      <c r="P17" s="24"/>
      <c r="Q17" s="24"/>
    </row>
    <row r="18" spans="1:18" s="60" customFormat="1" ht="16.5" customHeight="1" x14ac:dyDescent="0.2">
      <c r="A18" s="38">
        <f>COUNTIF($J$1:J18,"!")</f>
        <v>1</v>
      </c>
      <c r="B18" s="39" t="str">
        <f>IFERROR(VLOOKUP(C18,元件库!$B:$O,3,FALSE),"")</f>
        <v>铜排</v>
      </c>
      <c r="C18" s="64" t="s">
        <v>2136</v>
      </c>
      <c r="D18" s="155" t="str">
        <f>IFERROR(VLOOKUP(C18,元件库!$B:$O,2,FALSE),"")</f>
        <v>欣利铜材</v>
      </c>
      <c r="E18" s="41" t="str">
        <f t="shared" si="1"/>
        <v>只</v>
      </c>
      <c r="F18" s="65">
        <v>15</v>
      </c>
      <c r="G18" s="42">
        <f t="shared" si="2"/>
        <v>454.54079999999999</v>
      </c>
      <c r="H18" s="42">
        <f t="shared" si="3"/>
        <v>6818.1120000000001</v>
      </c>
      <c r="I18" s="72"/>
      <c r="J18" s="53">
        <f t="shared" si="4"/>
        <v>1.1200000000000001</v>
      </c>
      <c r="K18" s="73">
        <f t="shared" si="5"/>
        <v>405.84</v>
      </c>
      <c r="L18" s="55">
        <f>IFERROR(VLOOKUP(C18,元件库!$B:$O,10,FALSE),"1.00")</f>
        <v>1</v>
      </c>
      <c r="M18" s="71">
        <f>IFERROR(VLOOKUP(C18,元件库!$B:$O,11,FALSE),"")</f>
        <v>405.84</v>
      </c>
      <c r="N18" s="57" t="str">
        <f t="shared" ca="1" si="6"/>
        <v/>
      </c>
      <c r="O18" s="30"/>
      <c r="P18" s="24"/>
      <c r="Q18" s="24"/>
    </row>
    <row r="19" spans="1:18" s="60" customFormat="1" ht="16.5" customHeight="1" x14ac:dyDescent="0.2">
      <c r="A19" s="38">
        <f>COUNTIF($J$1:J19,"!")</f>
        <v>1</v>
      </c>
      <c r="B19" s="39" t="str">
        <f>IFERROR(VLOOKUP(C19,元件库!$B:$O,3,FALSE),"")</f>
        <v>塑壳断路器</v>
      </c>
      <c r="C19" s="64" t="s">
        <v>2142</v>
      </c>
      <c r="D19" s="155" t="str">
        <f>IFERROR(VLOOKUP(C19,元件库!$B:$O,2,FALSE),"")</f>
        <v>吉坤电气</v>
      </c>
      <c r="E19" s="41" t="str">
        <f t="shared" ref="E19" si="7">IF(D19="上海铜排","米","只")</f>
        <v>只</v>
      </c>
      <c r="F19" s="65">
        <v>2</v>
      </c>
      <c r="G19" s="42">
        <f t="shared" ref="G19" si="8">IFERROR(J19*K19,"")</f>
        <v>564.48</v>
      </c>
      <c r="H19" s="42">
        <f t="shared" ref="H19" si="9">IFERROR(G19*F19,"")</f>
        <v>1128.96</v>
      </c>
      <c r="I19" s="72"/>
      <c r="J19" s="53">
        <f t="shared" ref="J19" si="10">P$1</f>
        <v>1.1200000000000001</v>
      </c>
      <c r="K19" s="73">
        <f t="shared" ref="K19" si="11">IFERROR(M19*L19,"")</f>
        <v>504</v>
      </c>
      <c r="L19" s="55">
        <f>IFERROR(VLOOKUP(C19,元件库!$B:$O,10,FALSE),"1.00")</f>
        <v>1</v>
      </c>
      <c r="M19" s="71">
        <f>IFERROR(VLOOKUP(C19,元件库!$B:$O,11,FALSE),"")</f>
        <v>504</v>
      </c>
      <c r="N19" s="57" t="str">
        <f t="shared" ca="1" si="6"/>
        <v/>
      </c>
      <c r="O19" s="30"/>
      <c r="P19" s="24"/>
      <c r="Q19" s="24"/>
    </row>
    <row r="20" spans="1:18" s="60" customFormat="1" ht="16.5" customHeight="1" x14ac:dyDescent="0.2">
      <c r="A20" s="38">
        <f>COUNTIF($J$1:J20,"!")</f>
        <v>1</v>
      </c>
      <c r="B20" s="39" t="str">
        <f>IFERROR(VLOOKUP(C20,元件库!$B:$O,3,FALSE),"")</f>
        <v>塑壳断路器</v>
      </c>
      <c r="C20" s="64" t="s">
        <v>1890</v>
      </c>
      <c r="D20" s="155" t="str">
        <f>IFERROR(VLOOKUP(C20,元件库!$B:$O,2,FALSE),"")</f>
        <v>吉坤电气</v>
      </c>
      <c r="E20" s="41" t="str">
        <f t="shared" si="1"/>
        <v>只</v>
      </c>
      <c r="F20" s="65">
        <v>4</v>
      </c>
      <c r="G20" s="42">
        <f t="shared" si="2"/>
        <v>368.48</v>
      </c>
      <c r="H20" s="42">
        <f t="shared" si="3"/>
        <v>1473.92</v>
      </c>
      <c r="I20" s="72"/>
      <c r="J20" s="53">
        <f t="shared" si="4"/>
        <v>1.1200000000000001</v>
      </c>
      <c r="K20" s="73">
        <f t="shared" si="5"/>
        <v>329</v>
      </c>
      <c r="L20" s="55">
        <f>IFERROR(VLOOKUP(C20,元件库!$B:$O,10,FALSE),"1.00")</f>
        <v>1</v>
      </c>
      <c r="M20" s="71">
        <f>IFERROR(VLOOKUP(C20,元件库!$B:$O,11,FALSE),"")</f>
        <v>329</v>
      </c>
      <c r="N20" s="57" t="str">
        <f t="shared" ca="1" si="6"/>
        <v/>
      </c>
      <c r="O20" s="30"/>
      <c r="P20" s="24"/>
      <c r="Q20" s="24"/>
    </row>
    <row r="21" spans="1:18" s="23" customFormat="1" ht="16.5" customHeight="1" x14ac:dyDescent="0.2">
      <c r="A21" s="38">
        <f>COUNTIF($J$1:J21,"!")</f>
        <v>1</v>
      </c>
      <c r="B21" s="39" t="str">
        <f>IFERROR(VLOOKUP(C21,元件库!$B:$O,3,FALSE),"")</f>
        <v/>
      </c>
      <c r="C21" s="64" t="s">
        <v>31</v>
      </c>
      <c r="D21" s="155" t="str">
        <f>IFERROR(VLOOKUP(C21,元件库!$B:$O,2,FALSE),"")</f>
        <v/>
      </c>
      <c r="E21" s="41" t="str">
        <f t="shared" si="1"/>
        <v>只</v>
      </c>
      <c r="F21" s="65">
        <v>4</v>
      </c>
      <c r="G21" s="42" t="str">
        <f t="shared" si="2"/>
        <v/>
      </c>
      <c r="H21" s="42" t="str">
        <f t="shared" si="3"/>
        <v/>
      </c>
      <c r="I21" s="72"/>
      <c r="J21" s="53">
        <f t="shared" si="4"/>
        <v>1.1200000000000001</v>
      </c>
      <c r="K21" s="73" t="str">
        <f t="shared" si="5"/>
        <v/>
      </c>
      <c r="L21" s="55" t="str">
        <f>IFERROR(VLOOKUP(C21,元件库!$B:$O,10,FALSE),"1.00")</f>
        <v>1.00</v>
      </c>
      <c r="M21" s="71" t="str">
        <f>IFERROR(VLOOKUP(C21,元件库!$B:$O,11,FALSE),"")</f>
        <v/>
      </c>
      <c r="N21" s="57" t="str">
        <f t="shared" ca="1" si="6"/>
        <v/>
      </c>
      <c r="O21" s="30"/>
      <c r="P21" s="24"/>
      <c r="Q21" s="24"/>
    </row>
    <row r="22" spans="1:18" s="23" customFormat="1" ht="16.5" customHeight="1" x14ac:dyDescent="0.2">
      <c r="A22" s="38">
        <f>COUNTIF($J$1:J22,"!")</f>
        <v>1</v>
      </c>
      <c r="B22" s="39" t="str">
        <f>IFERROR(VLOOKUP(C22,元件库!$B:$O,3,FALSE),"")</f>
        <v/>
      </c>
      <c r="C22" s="64" t="s">
        <v>2143</v>
      </c>
      <c r="D22" s="155" t="str">
        <f>IFERROR(VLOOKUP(C22,元件库!$B:$O,2,FALSE),"")</f>
        <v/>
      </c>
      <c r="E22" s="41" t="str">
        <f t="shared" ref="E22" si="12">IF(D22="上海铜排","米","只")</f>
        <v>只</v>
      </c>
      <c r="F22" s="65">
        <v>2</v>
      </c>
      <c r="G22" s="42" t="str">
        <f t="shared" ref="G22" si="13">IFERROR(J22*K22,"")</f>
        <v/>
      </c>
      <c r="H22" s="42" t="str">
        <f t="shared" ref="H22" si="14">IFERROR(G22*F22,"")</f>
        <v/>
      </c>
      <c r="I22" s="72"/>
      <c r="J22" s="53">
        <f t="shared" ref="J22" si="15">P$1</f>
        <v>1.1200000000000001</v>
      </c>
      <c r="K22" s="73" t="str">
        <f t="shared" ref="K22" si="16">IFERROR(M22*L22,"")</f>
        <v/>
      </c>
      <c r="L22" s="55" t="str">
        <f>IFERROR(VLOOKUP(C22,元件库!$B:$O,10,FALSE),"1.00")</f>
        <v>1.00</v>
      </c>
      <c r="M22" s="71" t="str">
        <f>IFERROR(VLOOKUP(C22,元件库!$B:$O,11,FALSE),"")</f>
        <v/>
      </c>
      <c r="N22" s="57" t="str">
        <f t="shared" ca="1" si="6"/>
        <v/>
      </c>
      <c r="O22" s="30"/>
      <c r="P22" s="24"/>
      <c r="Q22" s="24"/>
    </row>
    <row r="23" spans="1:18" s="60" customFormat="1" ht="16.5" customHeight="1" x14ac:dyDescent="0.2">
      <c r="A23" s="38">
        <f>COUNTIF($J$1:J23,"!")</f>
        <v>1</v>
      </c>
      <c r="B23" s="39" t="str">
        <f>IFERROR(VLOOKUP(C23,元件库!$B:$O,3,FALSE),"")</f>
        <v>电流.电压表</v>
      </c>
      <c r="C23" s="64" t="s">
        <v>145</v>
      </c>
      <c r="D23" s="155" t="str">
        <f>IFERROR(VLOOKUP(C23,元件库!$B:$O,2,FALSE),"")</f>
        <v>精益联合集团</v>
      </c>
      <c r="E23" s="41" t="str">
        <f t="shared" si="1"/>
        <v>只</v>
      </c>
      <c r="F23" s="65">
        <v>6</v>
      </c>
      <c r="G23" s="42">
        <f t="shared" si="2"/>
        <v>15.400000000000004</v>
      </c>
      <c r="H23" s="42">
        <f t="shared" si="3"/>
        <v>92.40000000000002</v>
      </c>
      <c r="I23" s="72"/>
      <c r="J23" s="53">
        <f t="shared" si="4"/>
        <v>1.1200000000000001</v>
      </c>
      <c r="K23" s="73">
        <f t="shared" si="5"/>
        <v>13.750000000000002</v>
      </c>
      <c r="L23" s="55">
        <f>IFERROR(VLOOKUP(C23,元件库!$B:$O,10,FALSE),"1.00")</f>
        <v>0.55000000000000004</v>
      </c>
      <c r="M23" s="71">
        <f>IFERROR(VLOOKUP(C23,元件库!$B:$O,11,FALSE),"")</f>
        <v>25</v>
      </c>
      <c r="N23" s="57" t="str">
        <f t="shared" ca="1" si="6"/>
        <v/>
      </c>
      <c r="O23" s="30"/>
      <c r="P23" s="24"/>
      <c r="Q23" s="24"/>
    </row>
    <row r="24" spans="1:18" s="60" customFormat="1" ht="16.5" customHeight="1" x14ac:dyDescent="0.2">
      <c r="A24" s="38">
        <f>COUNTIF($J$1:J24,"!")</f>
        <v>1</v>
      </c>
      <c r="B24" s="39" t="str">
        <f>IFERROR(VLOOKUP(C24,元件库!$B:$O,3,FALSE),"")</f>
        <v/>
      </c>
      <c r="C24" s="64" t="s">
        <v>34</v>
      </c>
      <c r="D24" s="155" t="str">
        <f>IFERROR(VLOOKUP(C24,元件库!$B:$O,2,FALSE),"")</f>
        <v/>
      </c>
      <c r="E24" s="41" t="str">
        <f>IF(D24="上海铜排","米","只")</f>
        <v>只</v>
      </c>
      <c r="F24" s="65">
        <v>6</v>
      </c>
      <c r="G24" s="42" t="str">
        <f t="shared" si="2"/>
        <v/>
      </c>
      <c r="H24" s="42" t="str">
        <f t="shared" si="3"/>
        <v/>
      </c>
      <c r="I24" s="72"/>
      <c r="J24" s="53">
        <f t="shared" si="4"/>
        <v>1.1200000000000001</v>
      </c>
      <c r="K24" s="73" t="str">
        <f t="shared" si="5"/>
        <v/>
      </c>
      <c r="L24" s="55" t="str">
        <f>IFERROR(VLOOKUP(C24,元件库!$B:$O,10,FALSE),"1.00")</f>
        <v>1.00</v>
      </c>
      <c r="M24" s="71" t="str">
        <f>IFERROR(VLOOKUP(C24,元件库!$B:$O,11,FALSE),"")</f>
        <v/>
      </c>
      <c r="N24" s="57" t="str">
        <f t="shared" ca="1" si="6"/>
        <v/>
      </c>
      <c r="O24" s="125"/>
      <c r="P24" s="140"/>
      <c r="Q24" s="140"/>
      <c r="R24" s="141"/>
    </row>
    <row r="25" spans="1:18" s="60" customFormat="1" ht="16.5" customHeight="1" x14ac:dyDescent="0.2">
      <c r="A25" s="38">
        <f>COUNTIF($J$1:J25,"!")</f>
        <v>1</v>
      </c>
      <c r="B25" s="39" t="str">
        <f>IFERROR(VLOOKUP(C25,元件库!$B:$O,3,FALSE),"")</f>
        <v>指示灯</v>
      </c>
      <c r="C25" s="64" t="s">
        <v>35</v>
      </c>
      <c r="D25" s="155" t="str">
        <f>IFERROR(VLOOKUP(C25,元件库!$B:$O,2,FALSE),"")</f>
        <v>精益联合集团</v>
      </c>
      <c r="E25" s="41" t="str">
        <f>IF(D25="上海铜排","米","只")</f>
        <v>只</v>
      </c>
      <c r="F25" s="65">
        <v>6</v>
      </c>
      <c r="G25" s="42">
        <f t="shared" si="2"/>
        <v>2.5872000000000006</v>
      </c>
      <c r="H25" s="42">
        <f t="shared" si="3"/>
        <v>15.523200000000003</v>
      </c>
      <c r="I25" s="72"/>
      <c r="J25" s="53">
        <f t="shared" si="4"/>
        <v>1.1200000000000001</v>
      </c>
      <c r="K25" s="73">
        <f t="shared" si="5"/>
        <v>2.3100000000000005</v>
      </c>
      <c r="L25" s="55">
        <f>IFERROR(VLOOKUP(C25,元件库!$B:$O,10,FALSE),"1.00")</f>
        <v>0.55000000000000004</v>
      </c>
      <c r="M25" s="71">
        <f>IFERROR(VLOOKUP(C25,元件库!$B:$O,11,FALSE),"")</f>
        <v>4.2</v>
      </c>
      <c r="N25" s="57" t="str">
        <f t="shared" ca="1" si="6"/>
        <v/>
      </c>
      <c r="O25" s="125"/>
      <c r="P25" s="140"/>
      <c r="Q25" s="140"/>
      <c r="R25" s="141"/>
    </row>
    <row r="26" spans="1:18" s="60" customFormat="1" ht="16.5" customHeight="1" x14ac:dyDescent="0.2">
      <c r="A26" s="38">
        <f>COUNTIF($J$1:J26,"!")</f>
        <v>1</v>
      </c>
      <c r="B26" s="39" t="str">
        <f>IFERROR(VLOOKUP(C26,元件库!$B:$O,3,FALSE),"")</f>
        <v>铜排</v>
      </c>
      <c r="C26" s="64" t="s">
        <v>1887</v>
      </c>
      <c r="D26" s="155" t="str">
        <f>IFERROR(VLOOKUP(C26,元件库!$B:$O,2,FALSE),"")</f>
        <v>欣利铜材</v>
      </c>
      <c r="E26" s="41" t="str">
        <f>IF(D26="上海铜排","米","只")</f>
        <v>只</v>
      </c>
      <c r="F26" s="65">
        <v>4</v>
      </c>
      <c r="G26" s="42">
        <f t="shared" si="2"/>
        <v>85.226400000000012</v>
      </c>
      <c r="H26" s="42">
        <f t="shared" si="3"/>
        <v>340.90560000000005</v>
      </c>
      <c r="I26" s="72"/>
      <c r="J26" s="53">
        <f t="shared" si="4"/>
        <v>1.1200000000000001</v>
      </c>
      <c r="K26" s="73">
        <f t="shared" si="5"/>
        <v>76.094999999999999</v>
      </c>
      <c r="L26" s="55">
        <f>IFERROR(VLOOKUP(C26,元件库!$B:$O,10,FALSE),"1.00")</f>
        <v>1</v>
      </c>
      <c r="M26" s="71">
        <f>IFERROR(VLOOKUP(C26,元件库!$B:$O,11,FALSE),"")</f>
        <v>76.094999999999999</v>
      </c>
      <c r="N26" s="57" t="str">
        <f t="shared" ca="1" si="6"/>
        <v/>
      </c>
      <c r="O26" s="125"/>
      <c r="P26" s="140"/>
      <c r="Q26" s="140"/>
      <c r="R26" s="141"/>
    </row>
    <row r="27" spans="1:18" s="60" customFormat="1" ht="16.5" customHeight="1" x14ac:dyDescent="0.2">
      <c r="A27" s="38">
        <f>COUNTIF($J$1:J27,"!")</f>
        <v>1</v>
      </c>
      <c r="B27" s="39" t="str">
        <f>IFERROR(VLOOKUP(C27,元件库!$B:$O,3,FALSE),"")</f>
        <v>铜排</v>
      </c>
      <c r="C27" s="64" t="s">
        <v>2144</v>
      </c>
      <c r="D27" s="155" t="str">
        <f>IFERROR(VLOOKUP(C27,元件库!$B:$O,2,FALSE),"")</f>
        <v>欣利铜材</v>
      </c>
      <c r="E27" s="41" t="str">
        <f>IF(D27="上海铜排","米","只")</f>
        <v>只</v>
      </c>
      <c r="F27" s="65">
        <v>2</v>
      </c>
      <c r="G27" s="42">
        <f t="shared" ref="G27" si="17">IFERROR(J27*K27,"")</f>
        <v>136.36224000000001</v>
      </c>
      <c r="H27" s="42">
        <f t="shared" ref="H27" si="18">IFERROR(G27*F27,"")</f>
        <v>272.72448000000003</v>
      </c>
      <c r="I27" s="72"/>
      <c r="J27" s="53">
        <f t="shared" ref="J27" si="19">P$1</f>
        <v>1.1200000000000001</v>
      </c>
      <c r="K27" s="73">
        <f t="shared" ref="K27" si="20">IFERROR(M27*L27,"")</f>
        <v>121.752</v>
      </c>
      <c r="L27" s="55">
        <f>IFERROR(VLOOKUP(C27,元件库!$B:$O,10,FALSE),"1.00")</f>
        <v>1</v>
      </c>
      <c r="M27" s="71">
        <f>IFERROR(VLOOKUP(C27,元件库!$B:$O,11,FALSE),"")</f>
        <v>121.752</v>
      </c>
      <c r="N27" s="57" t="str">
        <f t="shared" ca="1" si="6"/>
        <v/>
      </c>
      <c r="O27" s="125"/>
      <c r="P27" s="140"/>
      <c r="Q27" s="140"/>
      <c r="R27" s="141"/>
    </row>
    <row r="28" spans="1:18" s="60" customFormat="1" ht="16.5" customHeight="1" x14ac:dyDescent="0.2">
      <c r="A28" s="67">
        <f>COUNTIF($J$1:J28,"!")</f>
        <v>1</v>
      </c>
      <c r="B28" s="39" t="str">
        <f>IFERROR(VLOOKUP(C28,元件库!$B:$O,3,FALSE),"")</f>
        <v>刀熔开关</v>
      </c>
      <c r="C28" s="64" t="s">
        <v>2137</v>
      </c>
      <c r="D28" s="155" t="str">
        <f>IFERROR(VLOOKUP(C28,元件库!$B:$O,2,FALSE),"")</f>
        <v>精益联合集团</v>
      </c>
      <c r="E28" s="41" t="str">
        <f t="shared" ref="E28:E34" si="21">IF(D28="上海铜排","米","只")</f>
        <v>只</v>
      </c>
      <c r="F28" s="65">
        <v>1</v>
      </c>
      <c r="G28" s="42">
        <f t="shared" ref="G28:G35" si="22">IFERROR(J28*K28,"")</f>
        <v>979.44000000000017</v>
      </c>
      <c r="H28" s="42">
        <f t="shared" ref="H28:H35" si="23">IFERROR(G28*F28,"")</f>
        <v>979.44000000000017</v>
      </c>
      <c r="I28" s="72"/>
      <c r="J28" s="53">
        <f t="shared" si="4"/>
        <v>1.1200000000000001</v>
      </c>
      <c r="K28" s="73">
        <f t="shared" ref="K28:K35" si="24">IFERROR(M28*L28,"")</f>
        <v>874.50000000000011</v>
      </c>
      <c r="L28" s="55">
        <f>IFERROR(VLOOKUP(C28,元件库!$B:$O,10,FALSE),"1.00")</f>
        <v>0.55000000000000004</v>
      </c>
      <c r="M28" s="71">
        <f>IFERROR(VLOOKUP(C28,元件库!$B:$O,11,FALSE),"")</f>
        <v>1590</v>
      </c>
      <c r="N28" s="57" t="str">
        <f t="shared" ca="1" si="6"/>
        <v/>
      </c>
      <c r="O28" s="125"/>
      <c r="P28" s="140"/>
      <c r="Q28" s="140"/>
      <c r="R28" s="141"/>
    </row>
    <row r="29" spans="1:18" s="23" customFormat="1" ht="16.5" customHeight="1" x14ac:dyDescent="0.2">
      <c r="A29" s="38">
        <f>COUNTIF($J$1:J29,"!")</f>
        <v>1</v>
      </c>
      <c r="B29" s="39" t="str">
        <f>IFERROR(VLOOKUP(C29,元件库!$B:$O,3,FALSE),"")</f>
        <v/>
      </c>
      <c r="C29" s="64" t="s">
        <v>62</v>
      </c>
      <c r="D29" s="155" t="str">
        <f>IFERROR(VLOOKUP(C29,元件库!$B:$O,2,FALSE),"")</f>
        <v/>
      </c>
      <c r="E29" s="41" t="str">
        <f t="shared" si="21"/>
        <v>只</v>
      </c>
      <c r="F29" s="65">
        <v>3</v>
      </c>
      <c r="G29" s="42" t="str">
        <f t="shared" si="22"/>
        <v/>
      </c>
      <c r="H29" s="42" t="str">
        <f t="shared" si="23"/>
        <v/>
      </c>
      <c r="I29" s="72"/>
      <c r="J29" s="53">
        <f t="shared" si="4"/>
        <v>1.1200000000000001</v>
      </c>
      <c r="K29" s="73" t="str">
        <f t="shared" si="24"/>
        <v/>
      </c>
      <c r="L29" s="55" t="str">
        <f>IFERROR(VLOOKUP(C29,元件库!$B:$O,10,FALSE),"1.00")</f>
        <v>1.00</v>
      </c>
      <c r="M29" s="71" t="str">
        <f>IFERROR(VLOOKUP(C29,元件库!$B:$O,11,FALSE),"")</f>
        <v/>
      </c>
      <c r="N29" s="57" t="str">
        <f t="shared" ca="1" si="6"/>
        <v/>
      </c>
      <c r="O29" s="125"/>
      <c r="P29" s="140"/>
      <c r="Q29" s="140"/>
      <c r="R29" s="132"/>
    </row>
    <row r="30" spans="1:18" s="23" customFormat="1" ht="16.5" customHeight="1" x14ac:dyDescent="0.2">
      <c r="A30" s="38">
        <f>COUNTIF($J$1:J30,"!")</f>
        <v>1</v>
      </c>
      <c r="B30" s="39" t="str">
        <f>IFERROR(VLOOKUP(C30,元件库!$B:$O,3,FALSE),"")</f>
        <v>电流.电压表</v>
      </c>
      <c r="C30" s="64" t="s">
        <v>145</v>
      </c>
      <c r="D30" s="155" t="str">
        <f>IFERROR(VLOOKUP(C30,元件库!$B:$O,2,FALSE),"")</f>
        <v>精益联合集团</v>
      </c>
      <c r="E30" s="41" t="str">
        <f t="shared" si="21"/>
        <v>只</v>
      </c>
      <c r="F30" s="65">
        <v>3</v>
      </c>
      <c r="G30" s="42">
        <f t="shared" si="22"/>
        <v>15.400000000000004</v>
      </c>
      <c r="H30" s="42">
        <f t="shared" si="23"/>
        <v>46.20000000000001</v>
      </c>
      <c r="I30" s="72"/>
      <c r="J30" s="53">
        <f t="shared" si="4"/>
        <v>1.1200000000000001</v>
      </c>
      <c r="K30" s="73">
        <f t="shared" si="24"/>
        <v>13.750000000000002</v>
      </c>
      <c r="L30" s="55">
        <f>IFERROR(VLOOKUP(C30,元件库!$B:$O,10,FALSE),"1.00")</f>
        <v>0.55000000000000004</v>
      </c>
      <c r="M30" s="71">
        <f>IFERROR(VLOOKUP(C30,元件库!$B:$O,11,FALSE),"")</f>
        <v>25</v>
      </c>
      <c r="N30" s="57" t="str">
        <f t="shared" ca="1" si="6"/>
        <v/>
      </c>
      <c r="O30" s="125"/>
      <c r="P30" s="140"/>
      <c r="Q30" s="140"/>
      <c r="R30" s="132"/>
    </row>
    <row r="31" spans="1:18" s="23" customFormat="1" ht="16.5" customHeight="1" x14ac:dyDescent="0.2">
      <c r="A31" s="38">
        <f>COUNTIF($J$1:J31,"!")</f>
        <v>1</v>
      </c>
      <c r="B31" s="39" t="str">
        <f>IFERROR(VLOOKUP(C31,元件库!$B:$O,3,FALSE),"")</f>
        <v>电流.电压表</v>
      </c>
      <c r="C31" s="64" t="s">
        <v>150</v>
      </c>
      <c r="D31" s="155" t="str">
        <f>IFERROR(VLOOKUP(C31,元件库!$B:$O,2,FALSE),"")</f>
        <v>精益联合集团</v>
      </c>
      <c r="E31" s="41" t="str">
        <f t="shared" si="21"/>
        <v>只</v>
      </c>
      <c r="F31" s="65">
        <v>1</v>
      </c>
      <c r="G31" s="42">
        <f t="shared" si="22"/>
        <v>15.400000000000004</v>
      </c>
      <c r="H31" s="42">
        <f t="shared" si="23"/>
        <v>15.400000000000004</v>
      </c>
      <c r="I31" s="72"/>
      <c r="J31" s="53">
        <f t="shared" si="4"/>
        <v>1.1200000000000001</v>
      </c>
      <c r="K31" s="73">
        <f t="shared" si="24"/>
        <v>13.750000000000002</v>
      </c>
      <c r="L31" s="55">
        <f>IFERROR(VLOOKUP(C31,元件库!$B:$O,10,FALSE),"1.00")</f>
        <v>0.55000000000000004</v>
      </c>
      <c r="M31" s="71">
        <f>IFERROR(VLOOKUP(C31,元件库!$B:$O,11,FALSE),"")</f>
        <v>25</v>
      </c>
      <c r="N31" s="57" t="str">
        <f t="shared" ca="1" si="6"/>
        <v/>
      </c>
      <c r="O31" s="125"/>
      <c r="P31" s="140"/>
      <c r="Q31" s="140"/>
      <c r="R31" s="132"/>
    </row>
    <row r="32" spans="1:18" s="60" customFormat="1" ht="16.5" customHeight="1" x14ac:dyDescent="0.2">
      <c r="A32" s="38">
        <f>COUNTIF($J$1:J32,"!")</f>
        <v>1</v>
      </c>
      <c r="B32" s="39" t="str">
        <f>IFERROR(VLOOKUP(C32,元件库!$B:$O,3,FALSE),"")</f>
        <v/>
      </c>
      <c r="C32" s="64" t="s">
        <v>195</v>
      </c>
      <c r="D32" s="155" t="str">
        <f>IFERROR(VLOOKUP(C32,元件库!$B:$O,2,FALSE),"")</f>
        <v/>
      </c>
      <c r="E32" s="41" t="str">
        <f t="shared" si="21"/>
        <v>只</v>
      </c>
      <c r="F32" s="65">
        <v>1</v>
      </c>
      <c r="G32" s="42" t="str">
        <f t="shared" si="22"/>
        <v/>
      </c>
      <c r="H32" s="42" t="str">
        <f t="shared" si="23"/>
        <v/>
      </c>
      <c r="I32" s="72"/>
      <c r="J32" s="53">
        <f t="shared" si="4"/>
        <v>1.1200000000000001</v>
      </c>
      <c r="K32" s="73" t="str">
        <f t="shared" si="24"/>
        <v/>
      </c>
      <c r="L32" s="55" t="str">
        <f>IFERROR(VLOOKUP(C32,元件库!$B:$O,10,FALSE),"1.00")</f>
        <v>1.00</v>
      </c>
      <c r="M32" s="71" t="str">
        <f>IFERROR(VLOOKUP(C32,元件库!$B:$O,11,FALSE),"")</f>
        <v/>
      </c>
      <c r="N32" s="57" t="str">
        <f t="shared" ca="1" si="6"/>
        <v/>
      </c>
      <c r="O32" s="125"/>
      <c r="P32" s="140"/>
      <c r="Q32" s="140"/>
      <c r="R32" s="141"/>
    </row>
    <row r="33" spans="1:20" s="60" customFormat="1" ht="16.5" customHeight="1" x14ac:dyDescent="0.2">
      <c r="A33" s="38">
        <f>COUNTIF($J$1:J33,"!")</f>
        <v>1</v>
      </c>
      <c r="B33" s="39" t="str">
        <f>IFERROR(VLOOKUP(C33,元件库!$B:$O,3,FALSE),"")</f>
        <v>氧化锌避雷器</v>
      </c>
      <c r="C33" s="64" t="s">
        <v>2145</v>
      </c>
      <c r="D33" s="155" t="str">
        <f>IFERROR(VLOOKUP(C33,元件库!$B:$O,2,FALSE),"")</f>
        <v>雷恩电气</v>
      </c>
      <c r="E33" s="41" t="str">
        <f t="shared" si="21"/>
        <v>只</v>
      </c>
      <c r="F33" s="65">
        <v>3</v>
      </c>
      <c r="G33" s="42">
        <f t="shared" si="22"/>
        <v>11.200000000000001</v>
      </c>
      <c r="H33" s="42">
        <f t="shared" si="23"/>
        <v>33.6</v>
      </c>
      <c r="I33" s="72"/>
      <c r="J33" s="53">
        <f t="shared" si="4"/>
        <v>1.1200000000000001</v>
      </c>
      <c r="K33" s="73">
        <f t="shared" si="24"/>
        <v>10</v>
      </c>
      <c r="L33" s="55">
        <f>IFERROR(VLOOKUP(C33,元件库!$B:$O,10,FALSE),"1.00")</f>
        <v>1</v>
      </c>
      <c r="M33" s="71">
        <f>IFERROR(VLOOKUP(C33,元件库!$B:$O,11,FALSE),"")</f>
        <v>10</v>
      </c>
      <c r="N33" s="57" t="str">
        <f t="shared" ca="1" si="6"/>
        <v/>
      </c>
      <c r="O33" s="125"/>
      <c r="P33" s="145"/>
      <c r="Q33" s="140"/>
      <c r="R33" s="141"/>
    </row>
    <row r="34" spans="1:20" s="60" customFormat="1" ht="16.5" customHeight="1" x14ac:dyDescent="0.2">
      <c r="A34" s="38">
        <f>COUNTIF($J$1:J34,"!")</f>
        <v>1</v>
      </c>
      <c r="B34" s="39" t="str">
        <f>IFERROR(VLOOKUP(C34,元件库!$B:$O,3,FALSE),"")</f>
        <v>智能抗谐波电容器</v>
      </c>
      <c r="C34" s="64" t="s">
        <v>1898</v>
      </c>
      <c r="D34" s="155" t="str">
        <f>IFERROR(VLOOKUP(C34,元件库!$B:$O,2,FALSE),"")</f>
        <v>九康电气</v>
      </c>
      <c r="E34" s="41" t="str">
        <f t="shared" si="21"/>
        <v>只</v>
      </c>
      <c r="F34" s="65">
        <v>8</v>
      </c>
      <c r="G34" s="42">
        <f t="shared" si="22"/>
        <v>2419.2000000000003</v>
      </c>
      <c r="H34" s="42">
        <f t="shared" si="23"/>
        <v>19353.600000000002</v>
      </c>
      <c r="I34" s="72"/>
      <c r="J34" s="53">
        <f t="shared" si="4"/>
        <v>1.1200000000000001</v>
      </c>
      <c r="K34" s="73">
        <f t="shared" si="24"/>
        <v>2160</v>
      </c>
      <c r="L34" s="55">
        <f>IFERROR(VLOOKUP(C34,元件库!$B:$O,10,FALSE),"1.00")</f>
        <v>1</v>
      </c>
      <c r="M34" s="71">
        <f>IFERROR(VLOOKUP(C34,元件库!$B:$O,11,FALSE),"")</f>
        <v>2160</v>
      </c>
      <c r="N34" s="57" t="str">
        <f t="shared" ca="1" si="6"/>
        <v/>
      </c>
      <c r="O34" s="125"/>
      <c r="P34" s="140"/>
      <c r="Q34" s="140"/>
      <c r="R34" s="141"/>
    </row>
    <row r="35" spans="1:20" s="60" customFormat="1" ht="16.5" customHeight="1" x14ac:dyDescent="0.2">
      <c r="A35" s="38">
        <f>COUNTIF($J$1:J35,"!")</f>
        <v>1</v>
      </c>
      <c r="B35" s="39" t="str">
        <f>IFERROR(VLOOKUP(C35,元件库!$B:$O,3,FALSE),"")</f>
        <v/>
      </c>
      <c r="C35" s="64" t="s">
        <v>1888</v>
      </c>
      <c r="D35" s="155" t="str">
        <f>IFERROR(VLOOKUP(C35,元件库!$B:$O,2,FALSE),"")</f>
        <v/>
      </c>
      <c r="E35" s="41" t="str">
        <f t="shared" ref="E35:E42" si="25">IF(D35="上海铜排","米","只")</f>
        <v>只</v>
      </c>
      <c r="F35" s="65">
        <v>1</v>
      </c>
      <c r="G35" s="42" t="str">
        <f t="shared" si="22"/>
        <v/>
      </c>
      <c r="H35" s="42" t="str">
        <f t="shared" si="23"/>
        <v/>
      </c>
      <c r="I35" s="72"/>
      <c r="J35" s="53">
        <f t="shared" si="4"/>
        <v>1.1200000000000001</v>
      </c>
      <c r="K35" s="73" t="str">
        <f t="shared" si="24"/>
        <v/>
      </c>
      <c r="L35" s="55" t="str">
        <f>IFERROR(VLOOKUP(C35,元件库!$B:$O,10,FALSE),"1.00")</f>
        <v>1.00</v>
      </c>
      <c r="M35" s="71" t="str">
        <f>IFERROR(VLOOKUP(C35,元件库!$B:$O,11,FALSE),"")</f>
        <v/>
      </c>
      <c r="N35" s="57" t="str">
        <f t="shared" ca="1" si="6"/>
        <v/>
      </c>
      <c r="O35" s="125"/>
      <c r="P35" s="140"/>
      <c r="Q35" s="140"/>
      <c r="R35" s="141"/>
    </row>
    <row r="36" spans="1:20" s="60" customFormat="1" ht="16.5" customHeight="1" x14ac:dyDescent="0.2">
      <c r="A36" s="38">
        <f>COUNTIF($J$1:J36,"!")</f>
        <v>1</v>
      </c>
      <c r="B36" s="39" t="str">
        <f>IFERROR(VLOOKUP(C36,元件库!$B:$O,3,FALSE),"")</f>
        <v/>
      </c>
      <c r="C36" s="64" t="s">
        <v>34</v>
      </c>
      <c r="D36" s="155" t="str">
        <f>IFERROR(VLOOKUP(C36,元件库!$B:$O,2,FALSE),"")</f>
        <v/>
      </c>
      <c r="E36" s="41" t="str">
        <f t="shared" si="25"/>
        <v>只</v>
      </c>
      <c r="F36" s="65">
        <v>12</v>
      </c>
      <c r="G36" s="42" t="str">
        <f t="shared" ref="G36:G42" si="26">IFERROR(J36*K36,"")</f>
        <v/>
      </c>
      <c r="H36" s="42" t="str">
        <f t="shared" ref="H36:H42" si="27">IFERROR(G36*F36,"")</f>
        <v/>
      </c>
      <c r="I36" s="72"/>
      <c r="J36" s="53">
        <f t="shared" si="4"/>
        <v>1.1200000000000001</v>
      </c>
      <c r="K36" s="73" t="str">
        <f t="shared" ref="K36:K44" si="28">IFERROR(M36*L36,"")</f>
        <v/>
      </c>
      <c r="L36" s="55" t="str">
        <f>IFERROR(VLOOKUP(C36,元件库!$B:$O,10,FALSE),"1.00")</f>
        <v>1.00</v>
      </c>
      <c r="M36" s="71" t="str">
        <f>IFERROR(VLOOKUP(C36,元件库!$B:$O,11,FALSE),"")</f>
        <v/>
      </c>
      <c r="N36" s="57" t="str">
        <f t="shared" ca="1" si="6"/>
        <v/>
      </c>
      <c r="O36" s="125"/>
      <c r="P36" s="140"/>
      <c r="Q36" s="140"/>
      <c r="R36" s="141"/>
    </row>
    <row r="37" spans="1:20" s="60" customFormat="1" ht="16.5" customHeight="1" x14ac:dyDescent="0.2">
      <c r="A37" s="38">
        <f>COUNTIF($J$1:J37,"!")</f>
        <v>1</v>
      </c>
      <c r="B37" s="39" t="str">
        <f>IFERROR(VLOOKUP(C37,元件库!$B:$O,3,FALSE),"")</f>
        <v>指示灯</v>
      </c>
      <c r="C37" s="64" t="s">
        <v>35</v>
      </c>
      <c r="D37" s="155" t="str">
        <f>IFERROR(VLOOKUP(C37,元件库!$B:$O,2,FALSE),"")</f>
        <v>精益联合集团</v>
      </c>
      <c r="E37" s="41" t="str">
        <f t="shared" si="25"/>
        <v>只</v>
      </c>
      <c r="F37" s="65">
        <v>8</v>
      </c>
      <c r="G37" s="42">
        <f t="shared" si="26"/>
        <v>2.5872000000000006</v>
      </c>
      <c r="H37" s="42">
        <f t="shared" si="27"/>
        <v>20.697600000000005</v>
      </c>
      <c r="I37" s="72"/>
      <c r="J37" s="53">
        <f t="shared" si="4"/>
        <v>1.1200000000000001</v>
      </c>
      <c r="K37" s="73">
        <f t="shared" si="28"/>
        <v>2.3100000000000005</v>
      </c>
      <c r="L37" s="55">
        <f>IFERROR(VLOOKUP(C37,元件库!$B:$O,10,FALSE),"1.00")</f>
        <v>0.55000000000000004</v>
      </c>
      <c r="M37" s="71">
        <f>IFERROR(VLOOKUP(C37,元件库!$B:$O,11,FALSE),"")</f>
        <v>4.2</v>
      </c>
      <c r="N37" s="57" t="str">
        <f t="shared" ca="1" si="6"/>
        <v/>
      </c>
      <c r="O37" s="125"/>
      <c r="P37" s="140"/>
      <c r="Q37" s="140"/>
      <c r="R37" s="141"/>
    </row>
    <row r="38" spans="1:20" s="60" customFormat="1" ht="16.5" customHeight="1" x14ac:dyDescent="0.2">
      <c r="A38" s="38">
        <f>COUNTIF($J$1:J38,"!")</f>
        <v>1</v>
      </c>
      <c r="B38" s="39" t="str">
        <f>IFERROR(VLOOKUP(C38,元件库!$B:$O,3,FALSE),"")</f>
        <v>铜排</v>
      </c>
      <c r="C38" s="64" t="s">
        <v>205</v>
      </c>
      <c r="D38" s="155" t="str">
        <f>IFERROR(VLOOKUP(C38,元件库!$B:$O,2,FALSE),"")</f>
        <v>欣利铜材</v>
      </c>
      <c r="E38" s="41" t="str">
        <f t="shared" si="25"/>
        <v>只</v>
      </c>
      <c r="F38" s="65">
        <v>6</v>
      </c>
      <c r="G38" s="42">
        <f t="shared" si="26"/>
        <v>136.36224000000001</v>
      </c>
      <c r="H38" s="42">
        <f t="shared" si="27"/>
        <v>818.17344000000003</v>
      </c>
      <c r="I38" s="72"/>
      <c r="J38" s="53">
        <f t="shared" si="4"/>
        <v>1.1200000000000001</v>
      </c>
      <c r="K38" s="73">
        <f t="shared" si="28"/>
        <v>121.752</v>
      </c>
      <c r="L38" s="55">
        <f>IFERROR(VLOOKUP(C38,元件库!$B:$O,10,FALSE),"1.00")</f>
        <v>1</v>
      </c>
      <c r="M38" s="71">
        <f>IFERROR(VLOOKUP(C38,元件库!$B:$O,11,FALSE),"")</f>
        <v>121.752</v>
      </c>
      <c r="N38" s="57" t="str">
        <f t="shared" ca="1" si="6"/>
        <v/>
      </c>
      <c r="O38" s="125"/>
      <c r="P38" s="140"/>
      <c r="Q38" s="140"/>
      <c r="R38" s="141"/>
    </row>
    <row r="39" spans="1:20" s="60" customFormat="1" ht="16.5" customHeight="1" x14ac:dyDescent="0.2">
      <c r="A39" s="38">
        <f>COUNTIF($J$1:J39,"!")</f>
        <v>1</v>
      </c>
      <c r="B39" s="39" t="str">
        <f>IFERROR(VLOOKUP(C39,元件库!$B:$O,3,FALSE),"")</f>
        <v>铜排</v>
      </c>
      <c r="C39" s="64" t="s">
        <v>2136</v>
      </c>
      <c r="D39" s="101" t="str">
        <f>IFERROR(VLOOKUP(C39,元件库!$B:$O,2,FALSE),"")</f>
        <v>欣利铜材</v>
      </c>
      <c r="E39" s="41" t="str">
        <f t="shared" si="25"/>
        <v>只</v>
      </c>
      <c r="F39" s="41">
        <v>4</v>
      </c>
      <c r="G39" s="42">
        <f t="shared" si="26"/>
        <v>454.54079999999999</v>
      </c>
      <c r="H39" s="42">
        <f t="shared" si="27"/>
        <v>1818.1632</v>
      </c>
      <c r="I39" s="52"/>
      <c r="J39" s="53">
        <f t="shared" si="4"/>
        <v>1.1200000000000001</v>
      </c>
      <c r="K39" s="69">
        <f t="shared" si="28"/>
        <v>405.84</v>
      </c>
      <c r="L39" s="55">
        <f>IFERROR(VLOOKUP(C39,元件库!$B:$O,10,FALSE),"1.00")</f>
        <v>1</v>
      </c>
      <c r="M39" s="71">
        <f>IFERROR(VLOOKUP(C39,元件库!$B:$O,11,FALSE),"")</f>
        <v>405.84</v>
      </c>
      <c r="N39" s="57" t="str">
        <f t="shared" ca="1" si="6"/>
        <v/>
      </c>
      <c r="O39" s="125"/>
      <c r="P39" s="140"/>
      <c r="Q39" s="140"/>
      <c r="R39" s="141"/>
    </row>
    <row r="40" spans="1:20" s="60" customFormat="1" ht="16.5" customHeight="1" x14ac:dyDescent="0.2">
      <c r="A40" s="38">
        <f>COUNTIF($J$1:J40,"!")</f>
        <v>1</v>
      </c>
      <c r="B40" s="39" t="str">
        <f>IFERROR(VLOOKUP(C40,元件库!$B:$O,3,FALSE),"")</f>
        <v>铜排</v>
      </c>
      <c r="C40" s="64" t="s">
        <v>2136</v>
      </c>
      <c r="D40" s="101" t="str">
        <f>IFERROR(VLOOKUP(C40,元件库!$B:$O,2,FALSE),"")</f>
        <v>欣利铜材</v>
      </c>
      <c r="E40" s="41" t="str">
        <f t="shared" si="25"/>
        <v>只</v>
      </c>
      <c r="F40" s="41">
        <v>9</v>
      </c>
      <c r="G40" s="42">
        <f t="shared" si="26"/>
        <v>454.54079999999999</v>
      </c>
      <c r="H40" s="42">
        <f t="shared" si="27"/>
        <v>4090.8671999999997</v>
      </c>
      <c r="I40" s="52"/>
      <c r="J40" s="53">
        <f t="shared" si="4"/>
        <v>1.1200000000000001</v>
      </c>
      <c r="K40" s="69">
        <f t="shared" si="28"/>
        <v>405.84</v>
      </c>
      <c r="L40" s="55">
        <f>IFERROR(VLOOKUP(C40,元件库!$B:$O,10,FALSE),"1.00")</f>
        <v>1</v>
      </c>
      <c r="M40" s="71">
        <f>IFERROR(VLOOKUP(C40,元件库!$B:$O,11,FALSE),"")</f>
        <v>405.84</v>
      </c>
      <c r="N40" s="57" t="str">
        <f t="shared" ca="1" si="6"/>
        <v/>
      </c>
      <c r="O40" s="125"/>
      <c r="P40" s="140"/>
      <c r="Q40" s="140"/>
      <c r="R40" s="141"/>
    </row>
    <row r="41" spans="1:20" s="60" customFormat="1" ht="16.5" customHeight="1" x14ac:dyDescent="0.2">
      <c r="A41" s="38">
        <f>COUNTIF($J$1:J41,"!")</f>
        <v>1</v>
      </c>
      <c r="B41" s="68" t="str">
        <f>IFERROR(VLOOKUP(C41,元件库!$B:$O,3,FALSE),"")</f>
        <v>铜排</v>
      </c>
      <c r="C41" s="64" t="s">
        <v>1889</v>
      </c>
      <c r="D41" s="155" t="str">
        <f>IFERROR(VLOOKUP(C41,元件库!$B:$O,2,FALSE),"")</f>
        <v>欣利铜材</v>
      </c>
      <c r="E41" s="41" t="str">
        <f t="shared" si="25"/>
        <v>只</v>
      </c>
      <c r="F41" s="65">
        <v>6</v>
      </c>
      <c r="G41" s="42">
        <f t="shared" si="26"/>
        <v>204.54336000000001</v>
      </c>
      <c r="H41" s="42">
        <f t="shared" si="27"/>
        <v>1227.26016</v>
      </c>
      <c r="I41" s="72"/>
      <c r="J41" s="53">
        <f t="shared" si="4"/>
        <v>1.1200000000000001</v>
      </c>
      <c r="K41" s="73">
        <f t="shared" si="28"/>
        <v>182.62799999999999</v>
      </c>
      <c r="L41" s="55">
        <f>IFERROR(VLOOKUP(C41,元件库!$B:$O,10,FALSE),"1.00")</f>
        <v>1</v>
      </c>
      <c r="M41" s="71">
        <f>IFERROR(VLOOKUP(C41,元件库!$B:$O,11,FALSE),"")</f>
        <v>182.62799999999999</v>
      </c>
      <c r="N41" s="57" t="str">
        <f t="shared" ca="1" si="6"/>
        <v/>
      </c>
      <c r="O41" s="125"/>
      <c r="P41" s="140"/>
      <c r="Q41" s="140"/>
      <c r="R41" s="141"/>
    </row>
    <row r="42" spans="1:20" s="60" customFormat="1" ht="16.5" customHeight="1" x14ac:dyDescent="0.2">
      <c r="A42" s="38">
        <f>COUNTIF($J$1:J42,"!")</f>
        <v>1</v>
      </c>
      <c r="B42" s="68" t="str">
        <f>IFERROR(VLOOKUP(C42,元件库!$B:$O,3,FALSE),"")</f>
        <v>铜排</v>
      </c>
      <c r="C42" s="64" t="s">
        <v>1889</v>
      </c>
      <c r="D42" s="155" t="str">
        <f>IFERROR(VLOOKUP(C42,元件库!$B:$O,2,FALSE),"")</f>
        <v>欣利铜材</v>
      </c>
      <c r="E42" s="41" t="str">
        <f t="shared" si="25"/>
        <v>只</v>
      </c>
      <c r="F42" s="65">
        <v>4</v>
      </c>
      <c r="G42" s="42">
        <f t="shared" si="26"/>
        <v>204.54336000000001</v>
      </c>
      <c r="H42" s="42">
        <f t="shared" si="27"/>
        <v>818.17344000000003</v>
      </c>
      <c r="I42" s="72"/>
      <c r="J42" s="53">
        <f t="shared" si="4"/>
        <v>1.1200000000000001</v>
      </c>
      <c r="K42" s="73">
        <f t="shared" si="28"/>
        <v>182.62799999999999</v>
      </c>
      <c r="L42" s="55">
        <f>IFERROR(VLOOKUP(C42,元件库!$B:$O,10,FALSE),"1.00")</f>
        <v>1</v>
      </c>
      <c r="M42" s="71">
        <f>IFERROR(VLOOKUP(C42,元件库!$B:$O,11,FALSE),"")</f>
        <v>182.62799999999999</v>
      </c>
      <c r="N42" s="57" t="str">
        <f t="shared" ca="1" si="6"/>
        <v/>
      </c>
      <c r="O42" s="125"/>
      <c r="P42" s="140"/>
      <c r="Q42" s="140"/>
      <c r="R42" s="141"/>
    </row>
    <row r="43" spans="1:20" ht="16.5" customHeight="1" x14ac:dyDescent="0.2">
      <c r="A43" s="38">
        <f>COUNTIF($J$1:J43,"!")</f>
        <v>1</v>
      </c>
      <c r="B43" s="44" t="s">
        <v>107</v>
      </c>
      <c r="C43" s="43"/>
      <c r="D43" s="41"/>
      <c r="E43" s="41"/>
      <c r="F43" s="41"/>
      <c r="G43" s="42"/>
      <c r="H43" s="42"/>
      <c r="I43" s="58">
        <f>SUM(H3:H43)</f>
        <v>115369.48191999998</v>
      </c>
      <c r="J43" s="53"/>
      <c r="K43" s="54"/>
      <c r="L43" s="55"/>
      <c r="M43" s="56"/>
      <c r="O43" s="140"/>
      <c r="P43" s="125"/>
      <c r="Q43" s="142"/>
      <c r="R43" s="125"/>
      <c r="T43" s="31"/>
    </row>
    <row r="44" spans="1:20" ht="16.5" customHeight="1" x14ac:dyDescent="0.2">
      <c r="A44" s="38">
        <f>COUNTIF($J$1:J44,"!")</f>
        <v>1</v>
      </c>
      <c r="B44" s="45" t="s">
        <v>47</v>
      </c>
      <c r="C44" s="43"/>
      <c r="D44" s="41"/>
      <c r="E44" s="41"/>
      <c r="F44" s="41"/>
      <c r="G44" s="42"/>
      <c r="H44" s="42">
        <f>IFERROR(J44*K44,"")</f>
        <v>3360.0000000000005</v>
      </c>
      <c r="I44" s="52"/>
      <c r="J44" s="53">
        <f>P$1</f>
        <v>1.1200000000000001</v>
      </c>
      <c r="K44" s="73">
        <f t="shared" si="28"/>
        <v>3000</v>
      </c>
      <c r="L44" s="55" t="str">
        <f>IFERROR(VLOOKUP(C44,元件库!$B:$O,10,FALSE),"1.00")</f>
        <v>1.00</v>
      </c>
      <c r="M44" s="56">
        <v>3000</v>
      </c>
      <c r="O44" s="140"/>
      <c r="P44" s="125"/>
      <c r="Q44" s="140"/>
      <c r="R44" s="142"/>
      <c r="T44" s="31"/>
    </row>
    <row r="45" spans="1:20" s="24" customFormat="1" ht="16.5" customHeight="1" x14ac:dyDescent="0.2">
      <c r="A45" s="38">
        <f>COUNTIF($J$1:J45,"!")</f>
        <v>1</v>
      </c>
      <c r="B45" s="45" t="s">
        <v>49</v>
      </c>
      <c r="C45" s="43"/>
      <c r="D45" s="41"/>
      <c r="E45" s="41"/>
      <c r="F45" s="41"/>
      <c r="G45" s="42"/>
      <c r="H45" s="42">
        <f>IFERROR(J45*K45,"")</f>
        <v>1680.0000000000002</v>
      </c>
      <c r="I45" s="52"/>
      <c r="J45" s="53">
        <f>P$1</f>
        <v>1.1200000000000001</v>
      </c>
      <c r="K45" s="73">
        <f t="shared" ref="K45:K46" si="29">IFERROR(M45*L45,"")</f>
        <v>1500</v>
      </c>
      <c r="L45" s="55" t="str">
        <f>IFERROR(VLOOKUP(C45,元件库!$B:$O,10,FALSE),"1.00")</f>
        <v>1.00</v>
      </c>
      <c r="M45" s="56">
        <v>1500</v>
      </c>
      <c r="N45" s="57"/>
      <c r="O45" s="143"/>
      <c r="P45" s="125"/>
      <c r="Q45" s="140"/>
      <c r="R45" s="142"/>
      <c r="S45" s="31"/>
      <c r="T45" s="31"/>
    </row>
    <row r="46" spans="1:20" s="24" customFormat="1" ht="16.5" customHeight="1" x14ac:dyDescent="0.2">
      <c r="A46" s="38">
        <f>COUNTIF($J$1:J46,"!")</f>
        <v>1</v>
      </c>
      <c r="B46" s="45" t="s">
        <v>50</v>
      </c>
      <c r="C46" s="43"/>
      <c r="D46" s="41"/>
      <c r="E46" s="41"/>
      <c r="F46" s="41"/>
      <c r="G46" s="42"/>
      <c r="H46" s="42">
        <f>IFERROR(J46*K46,"")</f>
        <v>336.00000000000006</v>
      </c>
      <c r="I46" s="52"/>
      <c r="J46" s="53">
        <f>P$1</f>
        <v>1.1200000000000001</v>
      </c>
      <c r="K46" s="73">
        <f t="shared" si="29"/>
        <v>300</v>
      </c>
      <c r="L46" s="55" t="str">
        <f>IFERROR(VLOOKUP(C46,元件库!$B:$O,10,FALSE),"1.00")</f>
        <v>1.00</v>
      </c>
      <c r="M46" s="56">
        <v>300</v>
      </c>
      <c r="N46" s="57"/>
      <c r="O46" s="143"/>
      <c r="P46" s="125"/>
      <c r="Q46" s="140"/>
      <c r="R46" s="142"/>
      <c r="S46" s="31"/>
      <c r="T46" s="31"/>
    </row>
    <row r="47" spans="1:20" s="24" customFormat="1" ht="16.5" customHeight="1" x14ac:dyDescent="0.2">
      <c r="A47" s="38">
        <f>COUNTIF($J$1:J47,"!")</f>
        <v>1</v>
      </c>
      <c r="B47" s="45" t="s">
        <v>79</v>
      </c>
      <c r="C47" s="43"/>
      <c r="D47" s="41"/>
      <c r="E47" s="41"/>
      <c r="F47" s="41"/>
      <c r="G47" s="42"/>
      <c r="H47" s="42">
        <f>K47*L47</f>
        <v>7244.7289151999985</v>
      </c>
      <c r="I47" s="52"/>
      <c r="J47" s="53"/>
      <c r="K47" s="54">
        <f>SUM(H44:H46)+I43</f>
        <v>120745.48191999998</v>
      </c>
      <c r="L47" s="278">
        <f>R$1</f>
        <v>0.06</v>
      </c>
      <c r="M47" s="56"/>
      <c r="N47" s="57"/>
      <c r="O47" s="143"/>
      <c r="P47" s="125"/>
      <c r="Q47" s="140"/>
      <c r="R47" s="142"/>
      <c r="S47" s="31"/>
      <c r="T47" s="31"/>
    </row>
    <row r="48" spans="1:20" ht="16.5" customHeight="1" x14ac:dyDescent="0.2">
      <c r="A48" s="38">
        <f>COUNTIF($J$1:J48,"!")</f>
        <v>1</v>
      </c>
      <c r="B48" s="45" t="s">
        <v>108</v>
      </c>
      <c r="C48" s="43"/>
      <c r="D48" s="41"/>
      <c r="E48" s="41"/>
      <c r="F48" s="41"/>
      <c r="G48" s="46"/>
      <c r="H48" s="42">
        <f>K48*L48</f>
        <v>0</v>
      </c>
      <c r="I48" s="52"/>
      <c r="J48" s="53"/>
      <c r="K48" s="54">
        <f>K47+H47</f>
        <v>127990.21083519998</v>
      </c>
      <c r="L48" s="278">
        <f>T$1</f>
        <v>0</v>
      </c>
      <c r="M48" s="56"/>
      <c r="N48" s="57"/>
      <c r="O48" s="140"/>
      <c r="P48" s="144"/>
      <c r="Q48" s="140"/>
      <c r="R48" s="142"/>
      <c r="T48" s="31"/>
    </row>
  </sheetData>
  <autoFilter ref="A1:N48"/>
  <phoneticPr fontId="25" type="noConversion"/>
  <pageMargins left="0.39370078740157499" right="0.39370078740157499" top="0.59055118110236204" bottom="0.59055118110236204" header="0.31496062992126" footer="0.31496062992126"/>
  <pageSetup paperSize="9" fitToWidth="0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OFFSET(元件库!$B$1,MATCH(C3&amp;"*",元件库!$B:$B,0)-1,,COUNTIF(元件库!$B:$B,C3&amp;"*"))</xm:f>
          </x14:formula1>
          <xm:sqref>C3:C42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0"/>
  <dimension ref="A1:T19"/>
  <sheetViews>
    <sheetView workbookViewId="0">
      <pane ySplit="1" topLeftCell="A2" activePane="bottomLeft" state="frozen"/>
      <selection activeCell="C27" sqref="C27"/>
      <selection pane="bottomLeft" activeCell="C22" sqref="C22"/>
    </sheetView>
  </sheetViews>
  <sheetFormatPr defaultColWidth="7" defaultRowHeight="12" x14ac:dyDescent="0.2"/>
  <cols>
    <col min="1" max="1" width="3.625" style="238" customWidth="1"/>
    <col min="2" max="2" width="14.125" style="239" customWidth="1"/>
    <col min="3" max="3" width="21.625" style="240" customWidth="1"/>
    <col min="4" max="4" width="11.625" style="241" customWidth="1"/>
    <col min="5" max="6" width="4.125" style="241" customWidth="1"/>
    <col min="7" max="8" width="9.625" style="242" customWidth="1"/>
    <col min="9" max="9" width="14.625" style="243" customWidth="1"/>
    <col min="10" max="10" width="4.625" style="238" customWidth="1"/>
    <col min="11" max="11" width="8.125" style="242" customWidth="1"/>
    <col min="12" max="12" width="5.125" style="242" customWidth="1"/>
    <col min="13" max="13" width="8.125" style="242" customWidth="1"/>
    <col min="14" max="14" width="3.625" style="225" customWidth="1"/>
    <col min="15" max="15" width="4.625" style="225" customWidth="1"/>
    <col min="16" max="17" width="4.625" style="226" customWidth="1"/>
    <col min="18" max="23" width="4.625" style="221" customWidth="1"/>
    <col min="24" max="16384" width="7" style="221"/>
  </cols>
  <sheetData>
    <row r="1" spans="1:20" s="157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</v>
      </c>
      <c r="Q1" s="335" t="s">
        <v>2342</v>
      </c>
      <c r="R1" s="336">
        <v>0.1</v>
      </c>
      <c r="S1" s="336" t="s">
        <v>80</v>
      </c>
      <c r="T1" s="336"/>
    </row>
    <row r="2" spans="1:20" ht="16.5" customHeight="1" x14ac:dyDescent="0.15">
      <c r="A2" s="32">
        <f>COUNTIF($J$1:J2,"!")</f>
        <v>1</v>
      </c>
      <c r="B2" s="33" t="str">
        <f>B3</f>
        <v>变压器</v>
      </c>
      <c r="C2" s="222" t="s">
        <v>2395</v>
      </c>
      <c r="D2" s="223"/>
      <c r="E2" s="34" t="s">
        <v>23</v>
      </c>
      <c r="F2" s="223">
        <v>4</v>
      </c>
      <c r="G2" s="36">
        <f>ROUND(SUM(H3:H7),0)</f>
        <v>70389</v>
      </c>
      <c r="H2" s="224" t="str">
        <f>IF(ISNUMBER(FIND("M",C3)),MID(C3,1,FIND(" ",C3)),MID(C3,1,FIND(" ",C3)-1))</f>
        <v>SCB11-630KVA</v>
      </c>
      <c r="I2" s="47" t="str">
        <f>MID(C3,LEN(H2)+2,30)</f>
        <v>全铜</v>
      </c>
      <c r="J2" s="48" t="s">
        <v>24</v>
      </c>
      <c r="K2" s="49"/>
      <c r="L2" s="50"/>
      <c r="M2" s="51"/>
      <c r="N2" s="230"/>
      <c r="O2" s="244"/>
      <c r="P2" s="225"/>
      <c r="R2" s="226"/>
      <c r="S2" s="226"/>
    </row>
    <row r="3" spans="1:20" ht="16.5" customHeight="1" x14ac:dyDescent="0.2">
      <c r="A3" s="38">
        <f>COUNTIF($J$1:J3,"!")</f>
        <v>1</v>
      </c>
      <c r="B3" s="68" t="str">
        <f>IFERROR(VLOOKUP(C3,元件库!$B:$O,3,FALSE),"")</f>
        <v>变压器</v>
      </c>
      <c r="C3" s="64" t="s">
        <v>2396</v>
      </c>
      <c r="D3" s="155">
        <f>IFERROR(VLOOKUP(C3,元件库!$B:$O,2,FALSE),"")</f>
        <v>0</v>
      </c>
      <c r="E3" s="65" t="s">
        <v>29</v>
      </c>
      <c r="F3" s="65">
        <v>1</v>
      </c>
      <c r="G3" s="42">
        <f>IFERROR(J3*K3,"")</f>
        <v>59850</v>
      </c>
      <c r="H3" s="42">
        <f>IFERROR(G3*F3,"")</f>
        <v>59850</v>
      </c>
      <c r="I3" s="72"/>
      <c r="J3" s="228">
        <f>P$1</f>
        <v>1</v>
      </c>
      <c r="K3" s="81">
        <f>IFERROR(M3*L3,"")</f>
        <v>59850</v>
      </c>
      <c r="L3" s="170">
        <v>0.9</v>
      </c>
      <c r="M3" s="229">
        <f>IFERROR(VLOOKUP(C3,元件库!$B:$O,11,FALSE),"")</f>
        <v>66500</v>
      </c>
      <c r="N3" s="172" t="str">
        <f t="shared" ref="N3:N4" ca="1" si="0">IF(AND(ISNUMBER(FIND("IF",_xlfn.FORMULATEXT(L3))),ISNUMBER(FIND("IF",_xlfn.FORMULATEXT(M3)))),"","值")</f>
        <v>值</v>
      </c>
      <c r="O3" s="245"/>
      <c r="P3" s="225" t="str">
        <f>IFERROR(((MID(C3,FIND(" ",C3)+1,FIND("*",C3)-FIND(" ",C3)-1)*MID(C3,FIND("*",C3)+1,FIND("*",MID(C3,FIND("*",C3)+1,30))-1))+(MID(C3,FIND(" ",C3)+1,FIND("*",C3)-FIND(" ",C3)-1)*MID(C3,FIND("*",C3)+1+FIND("*",MID(C3,FIND("*",C3)+1,30)),30))+(MID(C3,FIND("*",C3)+1,FIND("*",MID(C3,FIND("*",C3)+1,30))-1)*MID(C3,FIND("*",C3)+1+FIND("*",MID(C3,FIND("*",C3)+1,30)),30)))/500000+IFERROR(IF(ROUND(MID(C3,FIND("*",C3)+FIND("*",MID(C3,FIND("*",C3)+1,30))+1,10),0)&gt;=350,(MID(C3,FIND(" ",C3)+1,FIND("*",C3)-FIND(" ",C3)-1)*MID(C3,FIND("*",C3)+1,FIND("*",MID(C3,FIND("*",C3)+1,30))-1))/2000000,(MID(C3,FIND(" ",C3)+1,FIND("*",C3)-FIND(" ",C3)-1)*MID(C3,FIND("*",C3)+1,FIND("*",MID(C3,FIND("*",C3)+1,30))-1))/1000000),""),"")</f>
        <v/>
      </c>
      <c r="Q3" s="221"/>
      <c r="R3" s="226"/>
      <c r="S3" s="226"/>
    </row>
    <row r="4" spans="1:20" s="247" customFormat="1" ht="16.5" customHeight="1" x14ac:dyDescent="0.2">
      <c r="A4" s="38">
        <f>COUNTIF($J$1:J4,"!")</f>
        <v>1</v>
      </c>
      <c r="B4" s="68" t="str">
        <f>IFERROR(VLOOKUP(C4,元件库!$B:$O,3,FALSE),"")</f>
        <v>变压器外壳</v>
      </c>
      <c r="C4" s="246" t="str">
        <f>IF(ISNUMBER(FIND("M",C3)),"","SCBWK-"&amp;MID(C3,FIND("-",C3)+1,FIND(" ",C3)-FIND("-",C3))&amp;"不锈钢")</f>
        <v>SCBWK-630KVA 不锈钢</v>
      </c>
      <c r="D4" s="155">
        <f>IFERROR(VLOOKUP(C4,元件库!$B:$O,2,FALSE),"")</f>
        <v>0</v>
      </c>
      <c r="E4" s="65" t="str">
        <f>IF(C4="","","台")</f>
        <v>台</v>
      </c>
      <c r="F4" s="65">
        <f>IF(C4="","",F3)</f>
        <v>1</v>
      </c>
      <c r="G4" s="42">
        <f>IFERROR(J4*K4,"")</f>
        <v>4140</v>
      </c>
      <c r="H4" s="42">
        <f>IFERROR(G4*F4,"")</f>
        <v>4140</v>
      </c>
      <c r="I4" s="72"/>
      <c r="J4" s="228">
        <f>P$1</f>
        <v>1</v>
      </c>
      <c r="K4" s="81">
        <f>IFERROR(M4*L4,"")</f>
        <v>4140</v>
      </c>
      <c r="L4" s="170">
        <v>0.9</v>
      </c>
      <c r="M4" s="229">
        <f>IFERROR(VLOOKUP(C4,元件库!$B:$O,11,FALSE),"")</f>
        <v>4600</v>
      </c>
      <c r="N4" s="172" t="str">
        <f t="shared" ca="1" si="0"/>
        <v>值</v>
      </c>
      <c r="O4" s="245"/>
      <c r="P4" s="225" t="str">
        <f>IFERROR(((MID(C4,FIND(" ",C4)+1,FIND("*",C4)-FIND(" ",C4)-1)*MID(C4,FIND("*",C4)+1,FIND("*",MID(C4,FIND("*",C4)+1,30))-1))+(MID(C4,FIND(" ",C4)+1,FIND("*",C4)-FIND(" ",C4)-1)*MID(C4,FIND("*",C4)+1+FIND("*",MID(C4,FIND("*",C4)+1,30)),30))+(MID(C4,FIND("*",C4)+1,FIND("*",MID(C4,FIND("*",C4)+1,30))-1)*MID(C4,FIND("*",C4)+1+FIND("*",MID(C4,FIND("*",C4)+1,30)),30)))/500000+IFERROR(IF(ROUND(MID(C4,FIND("*",C4)+FIND("*",MID(C4,FIND("*",C4)+1,30))+1,10),0)&gt;=350,(MID(C4,FIND(" ",C4)+1,FIND("*",C4)-FIND(" ",C4)-1)*MID(C4,FIND("*",C4)+1,FIND("*",MID(C4,FIND("*",C4)+1,30))-1))/2000000,(MID(C4,FIND(" ",C4)+1,FIND("*",C4)-FIND(" ",C4)-1)*MID(C4,FIND("*",C4)+1,FIND("*",MID(C4,FIND("*",C4)+1,30))-1))/1000000),""),"")</f>
        <v/>
      </c>
      <c r="Q4" s="221"/>
      <c r="R4" s="226"/>
      <c r="S4" s="226"/>
      <c r="T4" s="221"/>
    </row>
    <row r="5" spans="1:20" ht="16.5" customHeight="1" x14ac:dyDescent="0.2">
      <c r="A5" s="38">
        <f>COUNTIF($J$1:J5,"!")</f>
        <v>1</v>
      </c>
      <c r="B5" s="232" t="s">
        <v>107</v>
      </c>
      <c r="C5" s="227"/>
      <c r="D5" s="65"/>
      <c r="E5" s="65"/>
      <c r="F5" s="65"/>
      <c r="G5" s="42"/>
      <c r="H5" s="42"/>
      <c r="I5" s="233">
        <f>SUM(H3:H5)</f>
        <v>63990</v>
      </c>
      <c r="J5" s="228"/>
      <c r="K5" s="81"/>
      <c r="L5" s="82"/>
      <c r="M5" s="229"/>
      <c r="O5" s="245"/>
      <c r="P5" s="225" t="str">
        <f>IFERROR(((MID(C5,FIND(" ",C5)+1,FIND("*",C5)-FIND(" ",C5)-1)*MID(C5,FIND("*",C5)+1,FIND("*",MID(C5,FIND("*",C5)+1,30))-1))+(MID(C5,FIND(" ",C5)+1,FIND("*",C5)-FIND(" ",C5)-1)*MID(C5,FIND("*",C5)+1+FIND("*",MID(C5,FIND("*",C5)+1,30)),30))+(MID(C5,FIND("*",C5)+1,FIND("*",MID(C5,FIND("*",C5)+1,30))-1)*MID(C5,FIND("*",C5)+1+FIND("*",MID(C5,FIND("*",C5)+1,30)),30)))/500000+IFERROR(IF(ROUND(MID(C5,FIND("*",C5)+FIND("*",MID(C5,FIND("*",C5)+1,30))+1,10),0)&gt;=350,(MID(C5,FIND(" ",C5)+1,FIND("*",C5)-FIND(" ",C5)-1)*MID(C5,FIND("*",C5)+1,FIND("*",MID(C5,FIND("*",C5)+1,30))-1))/2000000,(MID(C5,FIND(" ",C5)+1,FIND("*",C5)-FIND(" ",C5)-1)*MID(C5,FIND("*",C5)+1,FIND("*",MID(C5,FIND("*",C5)+1,30))-1))/1000000),""),"")</f>
        <v/>
      </c>
      <c r="Q5" s="221"/>
      <c r="R5" s="226"/>
      <c r="S5" s="226"/>
    </row>
    <row r="6" spans="1:20" s="225" customFormat="1" ht="16.5" customHeight="1" x14ac:dyDescent="0.2">
      <c r="A6" s="38">
        <f>COUNTIF($J$1:J6,"!")</f>
        <v>1</v>
      </c>
      <c r="B6" s="234" t="s">
        <v>79</v>
      </c>
      <c r="C6" s="227"/>
      <c r="D6" s="65"/>
      <c r="E6" s="65"/>
      <c r="F6" s="65"/>
      <c r="G6" s="42"/>
      <c r="H6" s="42">
        <f>K6*L6</f>
        <v>6399</v>
      </c>
      <c r="I6" s="72"/>
      <c r="J6" s="228"/>
      <c r="K6" s="81">
        <f>I5</f>
        <v>63990</v>
      </c>
      <c r="L6" s="280">
        <f>R$1</f>
        <v>0.1</v>
      </c>
      <c r="M6" s="229"/>
      <c r="N6" s="235"/>
      <c r="O6" s="244"/>
      <c r="Q6" s="247"/>
      <c r="R6" s="247"/>
      <c r="S6" s="247"/>
      <c r="T6" s="247"/>
    </row>
    <row r="7" spans="1:20" ht="16.5" customHeight="1" x14ac:dyDescent="0.2">
      <c r="A7" s="38">
        <f>COUNTIF($J$1:J7,"!")</f>
        <v>1</v>
      </c>
      <c r="B7" s="234" t="s">
        <v>108</v>
      </c>
      <c r="C7" s="227"/>
      <c r="D7" s="65"/>
      <c r="E7" s="65"/>
      <c r="F7" s="65"/>
      <c r="G7" s="236"/>
      <c r="H7" s="42">
        <f>K7*L7</f>
        <v>0</v>
      </c>
      <c r="I7" s="72"/>
      <c r="J7" s="228"/>
      <c r="K7" s="81">
        <f>H6+K6</f>
        <v>70389</v>
      </c>
      <c r="L7" s="280">
        <f>T$1</f>
        <v>0</v>
      </c>
      <c r="M7" s="229"/>
      <c r="O7" s="244"/>
      <c r="P7" s="225"/>
      <c r="Q7" s="247"/>
      <c r="R7" s="247"/>
      <c r="S7" s="247"/>
      <c r="T7" s="247"/>
    </row>
    <row r="8" spans="1:20" ht="16.5" customHeight="1" x14ac:dyDescent="0.2"/>
    <row r="9" spans="1:20" ht="16.5" customHeight="1" x14ac:dyDescent="0.2"/>
    <row r="11" spans="1:20" ht="16.5" customHeight="1" x14ac:dyDescent="0.2"/>
    <row r="13" spans="1:20" ht="16.5" customHeight="1" x14ac:dyDescent="0.2"/>
    <row r="14" spans="1:20" ht="16.5" customHeight="1" x14ac:dyDescent="0.2"/>
    <row r="15" spans="1:20" ht="16.5" customHeight="1" x14ac:dyDescent="0.2"/>
    <row r="17" ht="16.5" customHeight="1" x14ac:dyDescent="0.2"/>
    <row r="19" ht="16.5" customHeight="1" x14ac:dyDescent="0.2"/>
  </sheetData>
  <autoFilter ref="A1:M13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OFFSET(元件库!$B$1,MATCH(C1&amp;"*",元件库!$B:$B,0)-1,,IF(COUNTIF(元件库!$B:$B,C1&amp;"*")&gt;1,40,1))</xm:f>
          </x14:formula1>
          <xm:sqref>C1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1"/>
  <dimension ref="A1:T75"/>
  <sheetViews>
    <sheetView showZeros="0" workbookViewId="0">
      <pane ySplit="1" topLeftCell="A2" activePane="bottomLeft" state="frozen"/>
      <selection activeCell="C27" sqref="C27"/>
      <selection pane="bottomLeft" activeCell="C12" sqref="C12"/>
    </sheetView>
  </sheetViews>
  <sheetFormatPr defaultColWidth="7" defaultRowHeight="12" x14ac:dyDescent="0.2"/>
  <cols>
    <col min="1" max="1" width="3.625" style="189" customWidth="1"/>
    <col min="2" max="2" width="14.125" style="190" customWidth="1"/>
    <col min="3" max="3" width="21.625" style="191" customWidth="1"/>
    <col min="4" max="4" width="11.625" style="192" customWidth="1"/>
    <col min="5" max="6" width="4.125" style="192" customWidth="1"/>
    <col min="7" max="8" width="9.625" style="193" customWidth="1"/>
    <col min="9" max="9" width="14.625" style="194" customWidth="1"/>
    <col min="10" max="10" width="4.625" style="189" customWidth="1"/>
    <col min="11" max="11" width="8.125" style="193" customWidth="1"/>
    <col min="12" max="12" width="5.125" style="193" customWidth="1"/>
    <col min="13" max="13" width="8.125" style="193" customWidth="1"/>
    <col min="14" max="14" width="3.625" style="183" customWidth="1"/>
    <col min="15" max="15" width="4.625" style="161" customWidth="1"/>
    <col min="16" max="17" width="4.625" style="162" customWidth="1"/>
    <col min="18" max="23" width="4.625" style="157" customWidth="1"/>
    <col min="24" max="16384" width="7" style="157"/>
  </cols>
  <sheetData>
    <row r="1" spans="1:20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</v>
      </c>
      <c r="Q1" s="335" t="s">
        <v>3299</v>
      </c>
      <c r="R1" s="336">
        <v>0.12</v>
      </c>
      <c r="S1" s="336" t="s">
        <v>80</v>
      </c>
      <c r="T1" s="336">
        <v>0.03</v>
      </c>
    </row>
    <row r="2" spans="1:20" ht="16.5" customHeight="1" x14ac:dyDescent="0.15">
      <c r="A2" s="32">
        <f>COUNTIF($J$1:J2,"!")</f>
        <v>1</v>
      </c>
      <c r="B2" s="33" t="s">
        <v>3300</v>
      </c>
      <c r="C2" s="158" t="s">
        <v>3301</v>
      </c>
      <c r="D2" s="159"/>
      <c r="E2" s="34" t="s">
        <v>23</v>
      </c>
      <c r="F2" s="159">
        <v>1</v>
      </c>
      <c r="G2" s="36">
        <f>ROUND(SUM(H3:H20),0)</f>
        <v>7746</v>
      </c>
      <c r="H2" s="160" t="str">
        <f>IF(ISNUMBER(FIND(" ",C3)),MID(C3,1,FIND(" ",C3)-1),IF(ISNUMBER(FIND("电容柜",B2)),"GGJ",MID(C3,1,FIND("-",C3)-1)))</f>
        <v>GGD</v>
      </c>
      <c r="I2" s="47" t="str">
        <f>MID(C3,IF(LEN(C3)-LEN(H2)&gt;3,LEN(H2)+2,1),30)</f>
        <v>1000*1000*2200</v>
      </c>
      <c r="J2" s="48" t="s">
        <v>24</v>
      </c>
      <c r="K2" s="49"/>
      <c r="L2" s="50"/>
      <c r="M2" s="51"/>
      <c r="N2" s="161"/>
      <c r="O2" s="162"/>
      <c r="P2" s="161"/>
      <c r="R2" s="162"/>
      <c r="S2" s="162"/>
    </row>
    <row r="3" spans="1:20" ht="16.5" customHeight="1" x14ac:dyDescent="0.2">
      <c r="A3" s="38">
        <f>COUNTIF($J$1:J3,"!")</f>
        <v>1</v>
      </c>
      <c r="B3" s="163" t="s">
        <v>3302</v>
      </c>
      <c r="C3" s="164" t="s">
        <v>3303</v>
      </c>
      <c r="D3" s="165" t="s">
        <v>3242</v>
      </c>
      <c r="E3" s="166" t="str">
        <f t="shared" ref="E3:E15" si="0">IF(D3="欣利铜材","米",IF(B3="熔断器","套","只"))</f>
        <v>只</v>
      </c>
      <c r="F3" s="166">
        <v>1</v>
      </c>
      <c r="G3" s="42">
        <f t="shared" ref="G3:G15" si="1">IFERROR(J3*K3,"")</f>
        <v>2300</v>
      </c>
      <c r="H3" s="42">
        <f t="shared" ref="H3:H15" si="2">IFERROR(G3*F3,"")</f>
        <v>2300</v>
      </c>
      <c r="I3" s="167"/>
      <c r="J3" s="168">
        <f>P$1</f>
        <v>1</v>
      </c>
      <c r="K3" s="169">
        <f t="shared" ref="K3:K15" si="3">IFERROR(M3*L3,"")</f>
        <v>2300</v>
      </c>
      <c r="L3" s="170">
        <f>IFERROR(VLOOKUP(C3,元件库!$B:$O,10,FALSE),"1.00")</f>
        <v>1</v>
      </c>
      <c r="M3" s="171">
        <f>IFERROR(VLOOKUP(C3,元件库!$B:$O,11,FALSE),"")</f>
        <v>2300</v>
      </c>
      <c r="N3" s="172" t="str">
        <f t="shared" ref="N3:N15" ca="1" si="4">IF(AND(ISNUMBER(FIND("IF",_xlfn.FORMULATEXT(L3))),ISNUMBER(FIND("IF",_xlfn.FORMULATEXT(M3)))),"","值")</f>
        <v/>
      </c>
      <c r="O3" s="157" t="str">
        <f>B2</f>
        <v>低压进线柜</v>
      </c>
      <c r="P3" s="161"/>
      <c r="R3" s="162"/>
      <c r="S3" s="162"/>
    </row>
    <row r="4" spans="1:20" s="173" customFormat="1" ht="16.5" customHeight="1" x14ac:dyDescent="0.2">
      <c r="A4" s="38">
        <f>COUNTIF($J$1:J4,"!")</f>
        <v>1</v>
      </c>
      <c r="B4" s="163" t="str">
        <f>IFERROR(VLOOKUP(C4,元件库!$B:$O,3,FALSE),"")</f>
        <v>封板</v>
      </c>
      <c r="C4" s="164" t="s">
        <v>3304</v>
      </c>
      <c r="D4" s="165" t="str">
        <f>IFERROR(VLOOKUP(C4,元件库!$B:$O,2,FALSE),"")</f>
        <v>精益联合集团</v>
      </c>
      <c r="E4" s="166" t="str">
        <f t="shared" si="0"/>
        <v>只</v>
      </c>
      <c r="F4" s="166">
        <v>2</v>
      </c>
      <c r="G4" s="42">
        <f t="shared" si="1"/>
        <v>240</v>
      </c>
      <c r="H4" s="42">
        <f t="shared" si="2"/>
        <v>480</v>
      </c>
      <c r="I4" s="167"/>
      <c r="J4" s="168">
        <f t="shared" ref="J4:J15" si="5">P$1</f>
        <v>1</v>
      </c>
      <c r="K4" s="169">
        <f t="shared" si="3"/>
        <v>240</v>
      </c>
      <c r="L4" s="170">
        <f>IFERROR(VLOOKUP(C4,元件库!$B:$O,10,FALSE),"1.00")</f>
        <v>1</v>
      </c>
      <c r="M4" s="171">
        <f>IFERROR(VLOOKUP(C4,元件库!$B:$O,11,FALSE),"")</f>
        <v>240</v>
      </c>
      <c r="N4" s="172" t="str">
        <f t="shared" ca="1" si="4"/>
        <v/>
      </c>
      <c r="P4" s="161"/>
    </row>
    <row r="5" spans="1:20" s="173" customFormat="1" ht="16.5" customHeight="1" x14ac:dyDescent="0.2">
      <c r="A5" s="38">
        <f>COUNTIF($J$1:J5,"!")</f>
        <v>1</v>
      </c>
      <c r="B5" s="163" t="str">
        <f>IFERROR(VLOOKUP(C5,元件库!$B:$O,3,FALSE),"")</f>
        <v/>
      </c>
      <c r="C5" s="164" t="s">
        <v>3305</v>
      </c>
      <c r="D5" s="165" t="str">
        <f>IFERROR(VLOOKUP(C5,元件库!$B:$O,2,FALSE),"")</f>
        <v/>
      </c>
      <c r="E5" s="166" t="str">
        <f t="shared" si="0"/>
        <v>只</v>
      </c>
      <c r="F5" s="166">
        <v>3</v>
      </c>
      <c r="G5" s="42" t="str">
        <f t="shared" si="1"/>
        <v/>
      </c>
      <c r="H5" s="42" t="str">
        <f t="shared" si="2"/>
        <v/>
      </c>
      <c r="I5" s="167"/>
      <c r="J5" s="168">
        <f t="shared" si="5"/>
        <v>1</v>
      </c>
      <c r="K5" s="169" t="str">
        <f t="shared" si="3"/>
        <v/>
      </c>
      <c r="L5" s="170" t="str">
        <f>IFERROR(VLOOKUP(C5,元件库!$B:$O,10,FALSE),"1.00")</f>
        <v>1.00</v>
      </c>
      <c r="M5" s="171" t="str">
        <f>IFERROR(VLOOKUP(C5,元件库!$B:$O,11,FALSE),"")</f>
        <v/>
      </c>
      <c r="N5" s="172" t="str">
        <f t="shared" ca="1" si="4"/>
        <v/>
      </c>
      <c r="P5" s="161"/>
    </row>
    <row r="6" spans="1:20" s="173" customFormat="1" ht="16.5" customHeight="1" x14ac:dyDescent="0.2">
      <c r="A6" s="38">
        <f>COUNTIF($J$1:J6,"!")</f>
        <v>1</v>
      </c>
      <c r="B6" s="163" t="str">
        <f>IFERROR(VLOOKUP(C6,元件库!$B:$O,3,FALSE),"")</f>
        <v/>
      </c>
      <c r="C6" s="164" t="s">
        <v>3306</v>
      </c>
      <c r="D6" s="166" t="str">
        <f>IFERROR(VLOOKUP(C6,元件库!$B:$O,2,FALSE),"")</f>
        <v/>
      </c>
      <c r="E6" s="166" t="str">
        <f t="shared" si="0"/>
        <v>只</v>
      </c>
      <c r="F6" s="166">
        <v>4</v>
      </c>
      <c r="G6" s="42" t="str">
        <f t="shared" si="1"/>
        <v/>
      </c>
      <c r="H6" s="42" t="str">
        <f t="shared" si="2"/>
        <v/>
      </c>
      <c r="I6" s="167"/>
      <c r="J6" s="168">
        <f t="shared" si="5"/>
        <v>1</v>
      </c>
      <c r="K6" s="169" t="str">
        <f t="shared" si="3"/>
        <v/>
      </c>
      <c r="L6" s="170" t="str">
        <f>IFERROR(VLOOKUP(C6,元件库!$B:$O,10,FALSE),"1.00")</f>
        <v>1.00</v>
      </c>
      <c r="M6" s="171" t="str">
        <f>IFERROR(VLOOKUP(C6,元件库!$B:$O,11,FALSE),"")</f>
        <v/>
      </c>
      <c r="N6" s="172" t="str">
        <f t="shared" ca="1" si="4"/>
        <v/>
      </c>
      <c r="P6" s="161"/>
    </row>
    <row r="7" spans="1:20" s="173" customFormat="1" ht="16.5" customHeight="1" x14ac:dyDescent="0.2">
      <c r="A7" s="38">
        <f>COUNTIF($J$1:J7,"!")</f>
        <v>1</v>
      </c>
      <c r="B7" s="163" t="str">
        <f>IFERROR(VLOOKUP(C7,元件库!$B:$O,3,FALSE),"")</f>
        <v>电流.电压表</v>
      </c>
      <c r="C7" s="164" t="s">
        <v>3307</v>
      </c>
      <c r="D7" s="165" t="str">
        <f>IFERROR(VLOOKUP(C7,元件库!$B:$O,2,FALSE),"")</f>
        <v>精益联合集团</v>
      </c>
      <c r="E7" s="166" t="str">
        <f t="shared" si="0"/>
        <v>只</v>
      </c>
      <c r="F7" s="166">
        <v>6</v>
      </c>
      <c r="G7" s="42">
        <f t="shared" si="1"/>
        <v>13.750000000000002</v>
      </c>
      <c r="H7" s="42">
        <f t="shared" si="2"/>
        <v>82.500000000000014</v>
      </c>
      <c r="I7" s="167"/>
      <c r="J7" s="168">
        <f t="shared" si="5"/>
        <v>1</v>
      </c>
      <c r="K7" s="169">
        <f t="shared" si="3"/>
        <v>13.750000000000002</v>
      </c>
      <c r="L7" s="170">
        <f>IFERROR(VLOOKUP(C7,元件库!$B:$O,10,FALSE),"1.00")</f>
        <v>0.55000000000000004</v>
      </c>
      <c r="M7" s="171">
        <f>IFERROR(VLOOKUP(C7,元件库!$B:$O,11,FALSE),"")</f>
        <v>25</v>
      </c>
      <c r="N7" s="172" t="str">
        <f t="shared" ca="1" si="4"/>
        <v/>
      </c>
      <c r="P7" s="161"/>
    </row>
    <row r="8" spans="1:20" s="173" customFormat="1" ht="16.5" customHeight="1" x14ac:dyDescent="0.2">
      <c r="A8" s="38">
        <f>COUNTIF($J$1:J8,"!")</f>
        <v>1</v>
      </c>
      <c r="B8" s="163" t="s">
        <v>2734</v>
      </c>
      <c r="C8" s="164" t="s">
        <v>3308</v>
      </c>
      <c r="D8" s="165" t="s">
        <v>3309</v>
      </c>
      <c r="E8" s="166" t="s">
        <v>29</v>
      </c>
      <c r="F8" s="166">
        <v>3</v>
      </c>
      <c r="G8" s="42">
        <f t="shared" si="1"/>
        <v>29.15</v>
      </c>
      <c r="H8" s="42">
        <f t="shared" si="2"/>
        <v>87.449999999999989</v>
      </c>
      <c r="I8" s="167"/>
      <c r="J8" s="168">
        <f t="shared" si="5"/>
        <v>1</v>
      </c>
      <c r="K8" s="169">
        <f t="shared" si="3"/>
        <v>29.15</v>
      </c>
      <c r="L8" s="170">
        <v>0.5</v>
      </c>
      <c r="M8" s="171">
        <v>58.3</v>
      </c>
      <c r="N8" s="172" t="str">
        <f t="shared" ca="1" si="4"/>
        <v>值</v>
      </c>
      <c r="P8" s="161"/>
    </row>
    <row r="9" spans="1:20" s="173" customFormat="1" ht="16.5" customHeight="1" x14ac:dyDescent="0.2">
      <c r="A9" s="38">
        <f>COUNTIF($J$1:J9,"!")</f>
        <v>1</v>
      </c>
      <c r="B9" s="163" t="s">
        <v>3310</v>
      </c>
      <c r="C9" s="164" t="s">
        <v>3311</v>
      </c>
      <c r="D9" s="165" t="s">
        <v>3309</v>
      </c>
      <c r="E9" s="166" t="s">
        <v>29</v>
      </c>
      <c r="F9" s="166">
        <v>3</v>
      </c>
      <c r="G9" s="42">
        <f t="shared" si="1"/>
        <v>72.650000000000006</v>
      </c>
      <c r="H9" s="42">
        <f t="shared" si="2"/>
        <v>217.95000000000002</v>
      </c>
      <c r="I9" s="167"/>
      <c r="J9" s="168">
        <f t="shared" si="5"/>
        <v>1</v>
      </c>
      <c r="K9" s="169">
        <f t="shared" si="3"/>
        <v>72.650000000000006</v>
      </c>
      <c r="L9" s="170">
        <v>0.5</v>
      </c>
      <c r="M9" s="171">
        <v>145.30000000000001</v>
      </c>
      <c r="N9" s="172" t="str">
        <f t="shared" ca="1" si="4"/>
        <v>值</v>
      </c>
      <c r="P9" s="161"/>
    </row>
    <row r="10" spans="1:20" s="173" customFormat="1" ht="16.5" customHeight="1" x14ac:dyDescent="0.2">
      <c r="A10" s="38">
        <f>COUNTIF($J$1:J10,"!")</f>
        <v>1</v>
      </c>
      <c r="B10" s="163" t="str">
        <f>IFERROR(VLOOKUP(C10,元件库!$B:$O,3,FALSE),"")</f>
        <v>塑壳断路器</v>
      </c>
      <c r="C10" s="164" t="s">
        <v>3312</v>
      </c>
      <c r="D10" s="165" t="str">
        <f>IFERROR(VLOOKUP(C10,元件库!$B:$O,2,FALSE),"")</f>
        <v>吉坤电气</v>
      </c>
      <c r="E10" s="166" t="str">
        <f t="shared" si="0"/>
        <v>只</v>
      </c>
      <c r="F10" s="166">
        <v>1</v>
      </c>
      <c r="G10" s="42">
        <f t="shared" si="1"/>
        <v>588</v>
      </c>
      <c r="H10" s="42">
        <f t="shared" si="2"/>
        <v>588</v>
      </c>
      <c r="I10" s="167"/>
      <c r="J10" s="168">
        <f t="shared" si="5"/>
        <v>1</v>
      </c>
      <c r="K10" s="169">
        <f t="shared" si="3"/>
        <v>588</v>
      </c>
      <c r="L10" s="170">
        <f>IFERROR(VLOOKUP(C10,元件库!$B:$O,10,FALSE),"1.00")</f>
        <v>1</v>
      </c>
      <c r="M10" s="171">
        <f>IFERROR(VLOOKUP(C10,元件库!$B:$O,11,FALSE),"")</f>
        <v>588</v>
      </c>
      <c r="N10" s="172" t="str">
        <f t="shared" ca="1" si="4"/>
        <v/>
      </c>
      <c r="P10" s="161"/>
    </row>
    <row r="11" spans="1:20" s="173" customFormat="1" ht="16.5" customHeight="1" x14ac:dyDescent="0.2">
      <c r="A11" s="38">
        <f>COUNTIF($J$1:J11,"!")</f>
        <v>1</v>
      </c>
      <c r="B11" s="163" t="str">
        <f>IFERROR(VLOOKUP(C11,元件库!$B:$O,3,FALSE),"")</f>
        <v>指示灯</v>
      </c>
      <c r="C11" s="164" t="s">
        <v>3313</v>
      </c>
      <c r="D11" s="165" t="str">
        <f>IFERROR(VLOOKUP(C11,元件库!$B:$O,2,FALSE),"")</f>
        <v>精益联合集团</v>
      </c>
      <c r="E11" s="166" t="str">
        <f t="shared" si="0"/>
        <v>只</v>
      </c>
      <c r="F11" s="166">
        <v>3</v>
      </c>
      <c r="G11" s="42">
        <f t="shared" si="1"/>
        <v>2.3100000000000005</v>
      </c>
      <c r="H11" s="42">
        <f t="shared" si="2"/>
        <v>6.9300000000000015</v>
      </c>
      <c r="I11" s="167"/>
      <c r="J11" s="168">
        <f t="shared" si="5"/>
        <v>1</v>
      </c>
      <c r="K11" s="169">
        <f t="shared" si="3"/>
        <v>2.3100000000000005</v>
      </c>
      <c r="L11" s="170">
        <f>IFERROR(VLOOKUP(C11,元件库!$B:$O,10,FALSE),"1.00")</f>
        <v>0.55000000000000004</v>
      </c>
      <c r="M11" s="171">
        <f>IFERROR(VLOOKUP(C11,元件库!$B:$O,11,FALSE),"")</f>
        <v>4.2</v>
      </c>
      <c r="N11" s="172" t="str">
        <f t="shared" ca="1" si="4"/>
        <v/>
      </c>
      <c r="P11" s="161"/>
    </row>
    <row r="12" spans="1:20" s="173" customFormat="1" ht="16.5" customHeight="1" x14ac:dyDescent="0.2">
      <c r="A12" s="38">
        <f>COUNTIF($J$1:J12,"!")</f>
        <v>1</v>
      </c>
      <c r="B12" s="163" t="str">
        <f>IFERROR(VLOOKUP(C12,元件库!$B:$O,3,FALSE),"")</f>
        <v>铜排</v>
      </c>
      <c r="C12" s="164" t="s">
        <v>3314</v>
      </c>
      <c r="D12" s="165" t="str">
        <f>IFERROR(VLOOKUP(C12,元件库!$B:$O,2,FALSE),"")</f>
        <v>欣利铜材</v>
      </c>
      <c r="E12" s="166" t="str">
        <f t="shared" si="0"/>
        <v>米</v>
      </c>
      <c r="F12" s="166">
        <v>10</v>
      </c>
      <c r="G12" s="42">
        <f t="shared" si="1"/>
        <v>121.752</v>
      </c>
      <c r="H12" s="42">
        <f t="shared" si="2"/>
        <v>1217.52</v>
      </c>
      <c r="I12" s="167"/>
      <c r="J12" s="168">
        <f t="shared" si="5"/>
        <v>1</v>
      </c>
      <c r="K12" s="169">
        <f t="shared" si="3"/>
        <v>121.752</v>
      </c>
      <c r="L12" s="170">
        <f>IFERROR(VLOOKUP(C12,元件库!$B:$O,10,FALSE),"1.00")</f>
        <v>1</v>
      </c>
      <c r="M12" s="171">
        <f>IFERROR(VLOOKUP(C12,元件库!$B:$O,11,FALSE),"")</f>
        <v>121.752</v>
      </c>
      <c r="N12" s="172" t="str">
        <f t="shared" ca="1" si="4"/>
        <v/>
      </c>
      <c r="P12" s="161"/>
    </row>
    <row r="13" spans="1:20" s="175" customFormat="1" ht="16.5" customHeight="1" x14ac:dyDescent="0.2">
      <c r="A13" s="38">
        <f>COUNTIF($J$1:J13,"!")</f>
        <v>1</v>
      </c>
      <c r="B13" s="163" t="s">
        <v>3298</v>
      </c>
      <c r="C13" s="164" t="s">
        <v>3315</v>
      </c>
      <c r="D13" s="165" t="s">
        <v>3316</v>
      </c>
      <c r="E13" s="166" t="str">
        <f t="shared" si="0"/>
        <v>米</v>
      </c>
      <c r="F13" s="166">
        <f>1*(MID(O13,FIND("-",O13)+1,FIND("*",O13)-FIND("-",O13)-1)/1000*IF(B13="水平排",3,1))</f>
        <v>3</v>
      </c>
      <c r="G13" s="42">
        <f t="shared" si="1"/>
        <v>126.82499999999999</v>
      </c>
      <c r="H13" s="42">
        <f t="shared" si="2"/>
        <v>380.47499999999997</v>
      </c>
      <c r="I13" s="167"/>
      <c r="J13" s="168">
        <f t="shared" si="5"/>
        <v>1</v>
      </c>
      <c r="K13" s="169">
        <f t="shared" si="3"/>
        <v>126.82499999999999</v>
      </c>
      <c r="L13" s="170">
        <f>IFERROR(VLOOKUP(C13,元件库!$B:$O,10,FALSE),"1.00")</f>
        <v>1</v>
      </c>
      <c r="M13" s="171">
        <f>IFERROR(VLOOKUP(C13,元件库!$B:$O,11,FALSE),"")</f>
        <v>126.82499999999999</v>
      </c>
      <c r="N13" s="172" t="str">
        <f t="shared" ca="1" si="4"/>
        <v/>
      </c>
      <c r="O13" s="174" t="str">
        <f>O17</f>
        <v>GGD-1000*1000*2200</v>
      </c>
    </row>
    <row r="14" spans="1:20" s="175" customFormat="1" ht="16.5" customHeight="1" x14ac:dyDescent="0.2">
      <c r="A14" s="38">
        <f>COUNTIF($J$1:J14,"!")</f>
        <v>1</v>
      </c>
      <c r="B14" s="163" t="s">
        <v>3317</v>
      </c>
      <c r="C14" s="164" t="s">
        <v>3318</v>
      </c>
      <c r="D14" s="165" t="s">
        <v>3319</v>
      </c>
      <c r="E14" s="166" t="str">
        <f t="shared" si="0"/>
        <v>米</v>
      </c>
      <c r="F14" s="166">
        <f>1*(MID(O14,FIND("-",O14)+1,FIND("*",O14)-FIND("-",O14)-1)/1000*IF(B14="水平排",3,1))</f>
        <v>1</v>
      </c>
      <c r="G14" s="42">
        <f t="shared" si="1"/>
        <v>126.82499999999999</v>
      </c>
      <c r="H14" s="42">
        <f t="shared" si="2"/>
        <v>126.82499999999999</v>
      </c>
      <c r="I14" s="167"/>
      <c r="J14" s="168">
        <f t="shared" si="5"/>
        <v>1</v>
      </c>
      <c r="K14" s="169">
        <f t="shared" si="3"/>
        <v>126.82499999999999</v>
      </c>
      <c r="L14" s="170">
        <f>IFERROR(VLOOKUP(C14,元件库!$B:$O,10,FALSE),"1.00")</f>
        <v>1</v>
      </c>
      <c r="M14" s="171">
        <f>IFERROR(VLOOKUP(C14,元件库!$B:$O,11,FALSE),"")</f>
        <v>126.82499999999999</v>
      </c>
      <c r="N14" s="172" t="str">
        <f t="shared" ca="1" si="4"/>
        <v/>
      </c>
      <c r="O14" s="176" t="str">
        <f>O17</f>
        <v>GGD-1000*1000*2200</v>
      </c>
    </row>
    <row r="15" spans="1:20" s="175" customFormat="1" ht="16.5" customHeight="1" x14ac:dyDescent="0.2">
      <c r="A15" s="38">
        <f>COUNTIF($J$1:J15,"!")</f>
        <v>1</v>
      </c>
      <c r="B15" s="163" t="s">
        <v>3320</v>
      </c>
      <c r="C15" s="164" t="s">
        <v>3315</v>
      </c>
      <c r="D15" s="165" t="s">
        <v>3321</v>
      </c>
      <c r="E15" s="166" t="str">
        <f t="shared" si="0"/>
        <v>米</v>
      </c>
      <c r="F15" s="166">
        <f>1*(MID(O15,FIND("-",O15)+1,FIND("*",O15)-FIND("-",O15)-1)/1000*IF(B15="水平排",3,1))</f>
        <v>1</v>
      </c>
      <c r="G15" s="42">
        <f t="shared" si="1"/>
        <v>126.82499999999999</v>
      </c>
      <c r="H15" s="42">
        <f t="shared" si="2"/>
        <v>126.82499999999999</v>
      </c>
      <c r="I15" s="167"/>
      <c r="J15" s="168">
        <f t="shared" si="5"/>
        <v>1</v>
      </c>
      <c r="K15" s="169">
        <f t="shared" si="3"/>
        <v>126.82499999999999</v>
      </c>
      <c r="L15" s="170">
        <f>IFERROR(VLOOKUP(C15,元件库!$B:$O,10,FALSE),"1.00")</f>
        <v>1</v>
      </c>
      <c r="M15" s="171">
        <f>IFERROR(VLOOKUP(C15,元件库!$B:$O,11,FALSE),"")</f>
        <v>126.82499999999999</v>
      </c>
      <c r="N15" s="172" t="str">
        <f t="shared" ca="1" si="4"/>
        <v/>
      </c>
      <c r="O15" s="176" t="str">
        <f>O17</f>
        <v>GGD-1000*1000*2200</v>
      </c>
    </row>
    <row r="16" spans="1:20" ht="16.5" customHeight="1" x14ac:dyDescent="0.2">
      <c r="A16" s="38">
        <f>COUNTIF($J$1:J16,"!")</f>
        <v>1</v>
      </c>
      <c r="B16" s="177" t="s">
        <v>3322</v>
      </c>
      <c r="C16" s="164"/>
      <c r="D16" s="166"/>
      <c r="E16" s="166"/>
      <c r="F16" s="166"/>
      <c r="G16" s="42"/>
      <c r="H16" s="42"/>
      <c r="I16" s="178">
        <f>SUM(H3:H16)</f>
        <v>5614.4749999999995</v>
      </c>
      <c r="J16" s="168"/>
      <c r="K16" s="169"/>
      <c r="L16" s="170"/>
      <c r="M16" s="171"/>
      <c r="N16" s="161"/>
      <c r="O16" s="174"/>
      <c r="R16" s="162"/>
      <c r="S16" s="162"/>
    </row>
    <row r="17" spans="1:19" ht="16.5" customHeight="1" x14ac:dyDescent="0.2">
      <c r="A17" s="38">
        <f>COUNTIF($J$1:J17,"!")</f>
        <v>1</v>
      </c>
      <c r="B17" s="179" t="s">
        <v>3323</v>
      </c>
      <c r="C17" s="164"/>
      <c r="D17" s="166"/>
      <c r="E17" s="166"/>
      <c r="F17" s="166"/>
      <c r="G17" s="42"/>
      <c r="H17" s="42">
        <f>IFERROR(J17*K17,"")</f>
        <v>800</v>
      </c>
      <c r="I17" s="167"/>
      <c r="J17" s="168">
        <f>P$1</f>
        <v>1</v>
      </c>
      <c r="K17" s="169">
        <f>IFERROR(M17*L17,"")</f>
        <v>800</v>
      </c>
      <c r="L17" s="170">
        <f>F3</f>
        <v>1</v>
      </c>
      <c r="M17" s="171">
        <f>IF(B17="成套费",IF(ISNUMBER(FIND("GGD",O17)),800,IF(OR(ISNUMBER(FIND("GCS",O17)),ISNUMBER(FIND("GCK",O17)),ISNUMBER(FIND("MNS",O17))),1000,"")),IF(B17="辅件费",IF(VLOOKUP(A18,A$1:B17,2,FALSE)="低压电容柜",500,300),""))</f>
        <v>800</v>
      </c>
      <c r="N17" s="161"/>
      <c r="O17" s="180" t="str">
        <f>C3</f>
        <v>GGD-1000*1000*2200</v>
      </c>
      <c r="P17" s="161"/>
      <c r="R17" s="162"/>
      <c r="S17" s="162"/>
    </row>
    <row r="18" spans="1:19" s="161" customFormat="1" ht="16.5" customHeight="1" x14ac:dyDescent="0.2">
      <c r="A18" s="38">
        <f>COUNTIF($J$1:J18,"!")</f>
        <v>1</v>
      </c>
      <c r="B18" s="179" t="s">
        <v>3324</v>
      </c>
      <c r="C18" s="164"/>
      <c r="D18" s="166"/>
      <c r="E18" s="166"/>
      <c r="F18" s="166"/>
      <c r="G18" s="42"/>
      <c r="H18" s="42">
        <f>IFERROR(J18*K18,"")</f>
        <v>300</v>
      </c>
      <c r="I18" s="167"/>
      <c r="J18" s="168">
        <f>P$1</f>
        <v>1</v>
      </c>
      <c r="K18" s="169">
        <f>IFERROR(M18*L18,"")</f>
        <v>300</v>
      </c>
      <c r="L18" s="170">
        <f>L17</f>
        <v>1</v>
      </c>
      <c r="M18" s="171">
        <f>IF(B18="成套费",IF(ISNUMBER(FIND("GGD",O18)),800,IF(OR(ISNUMBER(FIND("GCS",O18)),ISNUMBER(FIND("GCK",O18)),ISNUMBER(FIND("MNS",O18))),1000,"")),IF(B18="辅件费",IF(VLOOKUP(A19,A$1:B18,2,FALSE)="低压电容柜",500,300),""))</f>
        <v>300</v>
      </c>
      <c r="N18" s="181"/>
      <c r="O18" s="182" t="str">
        <f>O17</f>
        <v>GGD-1000*1000*2200</v>
      </c>
      <c r="R18" s="162"/>
      <c r="S18" s="162"/>
    </row>
    <row r="19" spans="1:19" s="161" customFormat="1" ht="16.5" customHeight="1" x14ac:dyDescent="0.2">
      <c r="A19" s="38">
        <f>COUNTIF($J$1:J19,"!")</f>
        <v>1</v>
      </c>
      <c r="B19" s="179" t="s">
        <v>3325</v>
      </c>
      <c r="C19" s="164"/>
      <c r="D19" s="166"/>
      <c r="E19" s="166"/>
      <c r="F19" s="166"/>
      <c r="G19" s="42"/>
      <c r="H19" s="42">
        <f>K19*L19</f>
        <v>805.73699999999985</v>
      </c>
      <c r="I19" s="167"/>
      <c r="J19" s="168"/>
      <c r="K19" s="169">
        <f>SUM(H16:H18)+I16</f>
        <v>6714.4749999999995</v>
      </c>
      <c r="L19" s="279">
        <f>R$1</f>
        <v>0.12</v>
      </c>
      <c r="M19" s="171"/>
      <c r="N19" s="181"/>
      <c r="O19" s="162"/>
      <c r="R19" s="162"/>
      <c r="S19" s="162"/>
    </row>
    <row r="20" spans="1:19" ht="16.5" customHeight="1" x14ac:dyDescent="0.2">
      <c r="A20" s="38">
        <f>COUNTIF($J$1:J20,"!")</f>
        <v>1</v>
      </c>
      <c r="B20" s="179" t="s">
        <v>3326</v>
      </c>
      <c r="C20" s="164"/>
      <c r="D20" s="166"/>
      <c r="E20" s="166"/>
      <c r="F20" s="166"/>
      <c r="G20" s="184"/>
      <c r="H20" s="42">
        <f>K20*L20</f>
        <v>225.60635999999997</v>
      </c>
      <c r="I20" s="167"/>
      <c r="J20" s="168"/>
      <c r="K20" s="169">
        <f>H19+K19</f>
        <v>7520.2119999999995</v>
      </c>
      <c r="L20" s="279">
        <f>T$1</f>
        <v>0.03</v>
      </c>
      <c r="M20" s="171"/>
      <c r="N20" s="161"/>
      <c r="O20" s="162"/>
      <c r="P20" s="161"/>
      <c r="R20" s="162"/>
      <c r="S20" s="162"/>
    </row>
    <row r="21" spans="1:19" ht="16.5" customHeight="1" x14ac:dyDescent="0.15">
      <c r="A21" s="32">
        <f>COUNTIF($J$1:J21,"!")</f>
        <v>2</v>
      </c>
      <c r="B21" s="33" t="s">
        <v>3327</v>
      </c>
      <c r="C21" s="158" t="s">
        <v>3328</v>
      </c>
      <c r="D21" s="159"/>
      <c r="E21" s="34" t="s">
        <v>23</v>
      </c>
      <c r="F21" s="159">
        <v>2</v>
      </c>
      <c r="G21" s="36">
        <f>ROUND(SUM(H22:H41),0)</f>
        <v>15750</v>
      </c>
      <c r="H21" s="160" t="str">
        <f>IF(ISNUMBER(FIND(" ",C22)),MID(C22,1,FIND(" ",C22)-1),IF(ISNUMBER(FIND("电容柜",B21)),"GGJ",MID(C22,1,FIND("-",C22)-1)))</f>
        <v>GGJ</v>
      </c>
      <c r="I21" s="47" t="str">
        <f>MID(C22,IF(LEN(C22)-LEN(H21)&gt;3,LEN(H21)+2,1),30)</f>
        <v>800*800*2200</v>
      </c>
      <c r="J21" s="48" t="s">
        <v>24</v>
      </c>
      <c r="K21" s="49"/>
      <c r="L21" s="50"/>
      <c r="M21" s="51"/>
      <c r="N21" s="161"/>
      <c r="O21" s="162"/>
      <c r="P21" s="161"/>
      <c r="R21" s="162"/>
      <c r="S21" s="162"/>
    </row>
    <row r="22" spans="1:19" ht="16.5" customHeight="1" x14ac:dyDescent="0.2">
      <c r="A22" s="38">
        <f>COUNTIF($J$1:J22,"!")</f>
        <v>2</v>
      </c>
      <c r="B22" s="163" t="s">
        <v>3329</v>
      </c>
      <c r="C22" s="164" t="s">
        <v>3330</v>
      </c>
      <c r="D22" s="165" t="s">
        <v>3242</v>
      </c>
      <c r="E22" s="166" t="str">
        <f t="shared" ref="E22:E36" si="6">IF(D22="欣利铜材","米",IF(B22="熔断器","套","只"))</f>
        <v>只</v>
      </c>
      <c r="F22" s="166">
        <v>1</v>
      </c>
      <c r="G22" s="42">
        <f t="shared" ref="G22:G36" si="7">IFERROR(J22*K22,"")</f>
        <v>1900</v>
      </c>
      <c r="H22" s="42">
        <f t="shared" ref="H22:H36" si="8">IFERROR(G22*F22,"")</f>
        <v>1900</v>
      </c>
      <c r="I22" s="167"/>
      <c r="J22" s="168">
        <f>P$1</f>
        <v>1</v>
      </c>
      <c r="K22" s="169">
        <f t="shared" ref="K22:K36" si="9">IFERROR(M22*L22,"")</f>
        <v>1900</v>
      </c>
      <c r="L22" s="170">
        <f>IFERROR(VLOOKUP(C22,元件库!$B:$O,10,FALSE),"1.00")</f>
        <v>1</v>
      </c>
      <c r="M22" s="171">
        <f>IFERROR(VLOOKUP(C22,元件库!$B:$O,11,FALSE),"")</f>
        <v>1900</v>
      </c>
      <c r="N22" s="172" t="str">
        <f t="shared" ref="N22:N36" ca="1" si="10">IF(AND(ISNUMBER(FIND("IF",_xlfn.FORMULATEXT(L22))),ISNUMBER(FIND("IF",_xlfn.FORMULATEXT(M22)))),"","值")</f>
        <v/>
      </c>
      <c r="O22" s="157" t="str">
        <f>B21</f>
        <v>低压电容柜</v>
      </c>
      <c r="P22" s="161"/>
      <c r="R22" s="162"/>
      <c r="S22" s="162"/>
    </row>
    <row r="23" spans="1:19" s="173" customFormat="1" ht="16.5" customHeight="1" x14ac:dyDescent="0.2">
      <c r="A23" s="38">
        <f>COUNTIF($J$1:J23,"!")</f>
        <v>2</v>
      </c>
      <c r="B23" s="163" t="str">
        <f>IFERROR(VLOOKUP(C23,元件库!$B:$O,3,FALSE),"")</f>
        <v>刀熔开关</v>
      </c>
      <c r="C23" s="164" t="s">
        <v>3331</v>
      </c>
      <c r="D23" s="165" t="str">
        <f>IFERROR(VLOOKUP(C23,元件库!$B:$O,2,FALSE),"")</f>
        <v>精益联合集团</v>
      </c>
      <c r="E23" s="166" t="str">
        <f t="shared" si="6"/>
        <v>只</v>
      </c>
      <c r="F23" s="166">
        <v>1</v>
      </c>
      <c r="G23" s="42">
        <f t="shared" si="7"/>
        <v>874.50000000000011</v>
      </c>
      <c r="H23" s="42">
        <f t="shared" si="8"/>
        <v>874.50000000000011</v>
      </c>
      <c r="I23" s="167"/>
      <c r="J23" s="168">
        <f t="shared" ref="J23:J36" si="11">P$1</f>
        <v>1</v>
      </c>
      <c r="K23" s="169">
        <f t="shared" si="9"/>
        <v>874.50000000000011</v>
      </c>
      <c r="L23" s="170">
        <f>IFERROR(VLOOKUP(C23,元件库!$B:$O,10,FALSE),"1.00")</f>
        <v>0.55000000000000004</v>
      </c>
      <c r="M23" s="171">
        <f>IFERROR(VLOOKUP(C23,元件库!$B:$O,11,FALSE),"")</f>
        <v>1590</v>
      </c>
      <c r="N23" s="172" t="str">
        <f t="shared" ca="1" si="10"/>
        <v/>
      </c>
      <c r="P23" s="161"/>
    </row>
    <row r="24" spans="1:19" s="173" customFormat="1" ht="16.5" customHeight="1" x14ac:dyDescent="0.2">
      <c r="A24" s="38">
        <f>COUNTIF($J$1:J24,"!")</f>
        <v>2</v>
      </c>
      <c r="B24" s="163" t="str">
        <f>IFERROR(VLOOKUP(C24,元件库!$B:$O,3,FALSE),"")</f>
        <v/>
      </c>
      <c r="C24" s="164" t="s">
        <v>3332</v>
      </c>
      <c r="D24" s="166" t="str">
        <f>IFERROR(VLOOKUP(C24,元件库!$B:$O,2,FALSE),"")</f>
        <v/>
      </c>
      <c r="E24" s="166" t="str">
        <f t="shared" si="6"/>
        <v>只</v>
      </c>
      <c r="F24" s="166">
        <v>3</v>
      </c>
      <c r="G24" s="42" t="str">
        <f t="shared" si="7"/>
        <v/>
      </c>
      <c r="H24" s="42" t="str">
        <f t="shared" si="8"/>
        <v/>
      </c>
      <c r="I24" s="167"/>
      <c r="J24" s="168">
        <f t="shared" si="11"/>
        <v>1</v>
      </c>
      <c r="K24" s="169" t="str">
        <f t="shared" si="9"/>
        <v/>
      </c>
      <c r="L24" s="170" t="str">
        <f>IFERROR(VLOOKUP(C24,元件库!$B:$O,10,FALSE),"1.00")</f>
        <v>1.00</v>
      </c>
      <c r="M24" s="171" t="str">
        <f>IFERROR(VLOOKUP(C24,元件库!$B:$O,11,FALSE),"")</f>
        <v/>
      </c>
      <c r="N24" s="172" t="str">
        <f t="shared" ca="1" si="10"/>
        <v/>
      </c>
      <c r="P24" s="161"/>
    </row>
    <row r="25" spans="1:19" s="173" customFormat="1" ht="16.5" customHeight="1" x14ac:dyDescent="0.2">
      <c r="A25" s="38">
        <f>COUNTIF($J$1:J25,"!")</f>
        <v>2</v>
      </c>
      <c r="B25" s="163" t="str">
        <f>IFERROR(VLOOKUP(C25,元件库!$B:$O,3,FALSE),"")</f>
        <v>多功能数显表</v>
      </c>
      <c r="C25" s="164" t="s">
        <v>3333</v>
      </c>
      <c r="D25" s="165" t="str">
        <f>IFERROR(VLOOKUP(C25,元件库!$B:$O,2,FALSE),"")</f>
        <v>实德电气</v>
      </c>
      <c r="E25" s="166" t="str">
        <f t="shared" si="6"/>
        <v>只</v>
      </c>
      <c r="F25" s="166">
        <v>1</v>
      </c>
      <c r="G25" s="42">
        <f t="shared" si="7"/>
        <v>200</v>
      </c>
      <c r="H25" s="42">
        <f t="shared" si="8"/>
        <v>200</v>
      </c>
      <c r="I25" s="167"/>
      <c r="J25" s="168">
        <f t="shared" si="11"/>
        <v>1</v>
      </c>
      <c r="K25" s="169">
        <f t="shared" si="9"/>
        <v>200</v>
      </c>
      <c r="L25" s="170">
        <f>IFERROR(VLOOKUP(C25,元件库!$B:$O,10,FALSE),"1.00")</f>
        <v>1</v>
      </c>
      <c r="M25" s="171">
        <f>IFERROR(VLOOKUP(C25,元件库!$B:$O,11,FALSE),"")</f>
        <v>200</v>
      </c>
      <c r="N25" s="172" t="str">
        <f t="shared" ca="1" si="10"/>
        <v/>
      </c>
      <c r="P25" s="161"/>
    </row>
    <row r="26" spans="1:19" s="173" customFormat="1" ht="16.5" customHeight="1" x14ac:dyDescent="0.2">
      <c r="A26" s="38">
        <f>COUNTIF($J$1:J26,"!")</f>
        <v>2</v>
      </c>
      <c r="B26" s="163" t="str">
        <f>IFERROR(VLOOKUP(C26,元件库!$B:$O,3,FALSE),"")</f>
        <v>氧化锌避雷器</v>
      </c>
      <c r="C26" s="164" t="s">
        <v>184</v>
      </c>
      <c r="D26" s="165" t="str">
        <f>IFERROR(VLOOKUP(C26,元件库!$B:$O,2,FALSE),"")</f>
        <v>精益联合集团</v>
      </c>
      <c r="E26" s="166" t="str">
        <f t="shared" si="6"/>
        <v>只</v>
      </c>
      <c r="F26" s="166">
        <v>3</v>
      </c>
      <c r="G26" s="42">
        <f t="shared" si="7"/>
        <v>9.9</v>
      </c>
      <c r="H26" s="42">
        <f t="shared" si="8"/>
        <v>29.700000000000003</v>
      </c>
      <c r="I26" s="167"/>
      <c r="J26" s="168">
        <f t="shared" si="11"/>
        <v>1</v>
      </c>
      <c r="K26" s="169">
        <f t="shared" si="9"/>
        <v>9.9</v>
      </c>
      <c r="L26" s="170">
        <f>IFERROR(VLOOKUP(C26,元件库!$B:$O,10,FALSE),"1.00")</f>
        <v>0.55000000000000004</v>
      </c>
      <c r="M26" s="171">
        <f>IFERROR(VLOOKUP(C26,元件库!$B:$O,11,FALSE),"")</f>
        <v>18</v>
      </c>
      <c r="N26" s="172" t="str">
        <f t="shared" ca="1" si="10"/>
        <v/>
      </c>
      <c r="P26" s="161"/>
    </row>
    <row r="27" spans="1:19" s="173" customFormat="1" ht="16.5" customHeight="1" x14ac:dyDescent="0.2">
      <c r="A27" s="38">
        <f>COUNTIF($J$1:J27,"!")</f>
        <v>2</v>
      </c>
      <c r="B27" s="163" t="str">
        <f>IFERROR(VLOOKUP(C27,元件库!$B:$O,3,FALSE),"")</f>
        <v>小型断路器</v>
      </c>
      <c r="C27" s="164" t="s">
        <v>3334</v>
      </c>
      <c r="D27" s="166" t="str">
        <f>IFERROR(VLOOKUP(C27,元件库!$B:$O,2,FALSE),"")</f>
        <v>正泰电器</v>
      </c>
      <c r="E27" s="166" t="str">
        <f t="shared" si="6"/>
        <v>只</v>
      </c>
      <c r="F27" s="166">
        <v>8</v>
      </c>
      <c r="G27" s="42">
        <f t="shared" si="7"/>
        <v>23.187999999999999</v>
      </c>
      <c r="H27" s="42">
        <f t="shared" si="8"/>
        <v>185.50399999999999</v>
      </c>
      <c r="I27" s="167"/>
      <c r="J27" s="168">
        <f t="shared" si="11"/>
        <v>1</v>
      </c>
      <c r="K27" s="169">
        <f t="shared" si="9"/>
        <v>23.187999999999999</v>
      </c>
      <c r="L27" s="170">
        <f>IFERROR(VLOOKUP(C27,元件库!$B:$O,10,FALSE),"1.00")</f>
        <v>0.55000000000000004</v>
      </c>
      <c r="M27" s="171">
        <f>IFERROR(VLOOKUP(C27,元件库!$B:$O,11,FALSE),"")</f>
        <v>42.16</v>
      </c>
      <c r="N27" s="172" t="str">
        <f t="shared" ca="1" si="10"/>
        <v/>
      </c>
      <c r="P27" s="161"/>
    </row>
    <row r="28" spans="1:19" s="173" customFormat="1" ht="16.5" customHeight="1" x14ac:dyDescent="0.2">
      <c r="A28" s="38">
        <f>COUNTIF($J$1:J28,"!")</f>
        <v>2</v>
      </c>
      <c r="B28" s="163" t="str">
        <f>IFERROR(VLOOKUP(C28,元件库!$B:$O,3,FALSE),"")</f>
        <v/>
      </c>
      <c r="C28" s="164" t="s">
        <v>3335</v>
      </c>
      <c r="D28" s="166" t="str">
        <f>IFERROR(VLOOKUP(C28,元件库!$B:$O,2,FALSE),"")</f>
        <v/>
      </c>
      <c r="E28" s="166" t="str">
        <f t="shared" si="6"/>
        <v>只</v>
      </c>
      <c r="F28" s="166">
        <v>8</v>
      </c>
      <c r="G28" s="42" t="str">
        <f t="shared" si="7"/>
        <v/>
      </c>
      <c r="H28" s="42" t="str">
        <f t="shared" si="8"/>
        <v/>
      </c>
      <c r="I28" s="167"/>
      <c r="J28" s="168">
        <f t="shared" si="11"/>
        <v>1</v>
      </c>
      <c r="K28" s="169" t="str">
        <f t="shared" si="9"/>
        <v/>
      </c>
      <c r="L28" s="170" t="str">
        <f>IFERROR(VLOOKUP(C28,元件库!$B:$O,10,FALSE),"1.00")</f>
        <v>1.00</v>
      </c>
      <c r="M28" s="171" t="str">
        <f>IFERROR(VLOOKUP(C28,元件库!$B:$O,11,FALSE),"")</f>
        <v/>
      </c>
      <c r="N28" s="172" t="str">
        <f t="shared" ca="1" si="10"/>
        <v/>
      </c>
      <c r="P28" s="161"/>
    </row>
    <row r="29" spans="1:19" s="173" customFormat="1" ht="16.5" customHeight="1" x14ac:dyDescent="0.2">
      <c r="A29" s="38">
        <f>COUNTIF($J$1:J29,"!")</f>
        <v>2</v>
      </c>
      <c r="B29" s="163" t="str">
        <f>IFERROR(VLOOKUP(C29,元件库!$B:$O,3,FALSE),"")</f>
        <v>电抗器</v>
      </c>
      <c r="C29" s="164" t="s">
        <v>3336</v>
      </c>
      <c r="D29" s="166" t="str">
        <f>IFERROR(VLOOKUP(C29,元件库!$B:$O,2,FALSE),"")</f>
        <v>九康电气</v>
      </c>
      <c r="E29" s="166" t="str">
        <f t="shared" si="6"/>
        <v>只</v>
      </c>
      <c r="F29" s="166">
        <v>8</v>
      </c>
      <c r="G29" s="42">
        <f t="shared" si="7"/>
        <v>663</v>
      </c>
      <c r="H29" s="42">
        <f t="shared" si="8"/>
        <v>5304</v>
      </c>
      <c r="I29" s="167"/>
      <c r="J29" s="168">
        <f t="shared" si="11"/>
        <v>1</v>
      </c>
      <c r="K29" s="169">
        <f t="shared" si="9"/>
        <v>663</v>
      </c>
      <c r="L29" s="170">
        <f>IFERROR(VLOOKUP(C29,元件库!$B:$O,10,FALSE),"1.00")</f>
        <v>1</v>
      </c>
      <c r="M29" s="171">
        <f>IFERROR(VLOOKUP(C29,元件库!$B:$O,11,FALSE),"")</f>
        <v>663</v>
      </c>
      <c r="N29" s="172" t="str">
        <f t="shared" ca="1" si="10"/>
        <v/>
      </c>
      <c r="P29" s="161"/>
    </row>
    <row r="30" spans="1:19" s="173" customFormat="1" ht="16.5" customHeight="1" x14ac:dyDescent="0.2">
      <c r="A30" s="38">
        <f>COUNTIF($J$1:J30,"!")</f>
        <v>2</v>
      </c>
      <c r="B30" s="163" t="str">
        <f>IFERROR(VLOOKUP(C30,元件库!$B:$O,3,FALSE),"")</f>
        <v>电容器</v>
      </c>
      <c r="C30" s="164" t="s">
        <v>3337</v>
      </c>
      <c r="D30" s="166" t="str">
        <f>IFERROR(VLOOKUP(C30,元件库!$B:$O,2,FALSE),"")</f>
        <v>精益联合集团</v>
      </c>
      <c r="E30" s="166" t="str">
        <f t="shared" si="6"/>
        <v>只</v>
      </c>
      <c r="F30" s="166">
        <v>8</v>
      </c>
      <c r="G30" s="42">
        <f t="shared" si="7"/>
        <v>173.25</v>
      </c>
      <c r="H30" s="42">
        <f t="shared" si="8"/>
        <v>1386</v>
      </c>
      <c r="I30" s="167"/>
      <c r="J30" s="168">
        <f t="shared" si="11"/>
        <v>1</v>
      </c>
      <c r="K30" s="169">
        <f t="shared" si="9"/>
        <v>173.25</v>
      </c>
      <c r="L30" s="170">
        <f>IFERROR(VLOOKUP(C30,元件库!$B:$O,10,FALSE),"1.00")</f>
        <v>0.55000000000000004</v>
      </c>
      <c r="M30" s="171">
        <f>IFERROR(VLOOKUP(C30,元件库!$B:$O,11,FALSE),"")</f>
        <v>315</v>
      </c>
      <c r="N30" s="172" t="str">
        <f t="shared" ca="1" si="10"/>
        <v/>
      </c>
      <c r="P30" s="161"/>
    </row>
    <row r="31" spans="1:19" s="173" customFormat="1" ht="16.5" customHeight="1" x14ac:dyDescent="0.2">
      <c r="A31" s="38">
        <f>COUNTIF($J$1:J31,"!")</f>
        <v>2</v>
      </c>
      <c r="B31" s="163" t="str">
        <f>IFERROR(VLOOKUP(C31,元件库!$B:$O,3,FALSE),"")</f>
        <v/>
      </c>
      <c r="C31" s="164" t="s">
        <v>3338</v>
      </c>
      <c r="D31" s="166" t="str">
        <f>IFERROR(VLOOKUP(C31,元件库!$B:$O,2,FALSE),"")</f>
        <v/>
      </c>
      <c r="E31" s="166" t="str">
        <f t="shared" si="6"/>
        <v>只</v>
      </c>
      <c r="F31" s="166">
        <v>1</v>
      </c>
      <c r="G31" s="42" t="str">
        <f t="shared" si="7"/>
        <v/>
      </c>
      <c r="H31" s="42" t="str">
        <f t="shared" si="8"/>
        <v/>
      </c>
      <c r="I31" s="167"/>
      <c r="J31" s="168">
        <f t="shared" si="11"/>
        <v>1</v>
      </c>
      <c r="K31" s="169" t="str">
        <f t="shared" si="9"/>
        <v/>
      </c>
      <c r="L31" s="170" t="str">
        <f>IFERROR(VLOOKUP(C31,元件库!$B:$O,10,FALSE),"1.00")</f>
        <v>1.00</v>
      </c>
      <c r="M31" s="171" t="str">
        <f>IFERROR(VLOOKUP(C31,元件库!$B:$O,11,FALSE),"")</f>
        <v/>
      </c>
      <c r="N31" s="172" t="str">
        <f t="shared" ca="1" si="10"/>
        <v/>
      </c>
      <c r="P31" s="161"/>
    </row>
    <row r="32" spans="1:19" s="173" customFormat="1" ht="16.5" customHeight="1" x14ac:dyDescent="0.2">
      <c r="A32" s="38">
        <f>COUNTIF($J$1:J32,"!")</f>
        <v>2</v>
      </c>
      <c r="B32" s="163" t="str">
        <f>IFERROR(VLOOKUP(C32,元件库!$B:$O,3,FALSE),"")</f>
        <v>指示灯</v>
      </c>
      <c r="C32" s="164" t="s">
        <v>3339</v>
      </c>
      <c r="D32" s="165" t="str">
        <f>IFERROR(VLOOKUP(C32,元件库!$B:$O,2,FALSE),"")</f>
        <v>精益联合集团</v>
      </c>
      <c r="E32" s="166" t="str">
        <f t="shared" si="6"/>
        <v>只</v>
      </c>
      <c r="F32" s="166">
        <v>8</v>
      </c>
      <c r="G32" s="42">
        <f t="shared" si="7"/>
        <v>2.3100000000000005</v>
      </c>
      <c r="H32" s="42">
        <f t="shared" si="8"/>
        <v>18.480000000000004</v>
      </c>
      <c r="I32" s="167"/>
      <c r="J32" s="168">
        <f t="shared" si="11"/>
        <v>1</v>
      </c>
      <c r="K32" s="169">
        <f t="shared" si="9"/>
        <v>2.3100000000000005</v>
      </c>
      <c r="L32" s="170">
        <f>IFERROR(VLOOKUP(C32,元件库!$B:$O,10,FALSE),"1.00")</f>
        <v>0.55000000000000004</v>
      </c>
      <c r="M32" s="171">
        <f>IFERROR(VLOOKUP(C32,元件库!$B:$O,11,FALSE),"")</f>
        <v>4.2</v>
      </c>
      <c r="N32" s="172" t="str">
        <f t="shared" ca="1" si="10"/>
        <v/>
      </c>
      <c r="P32" s="161"/>
    </row>
    <row r="33" spans="1:19" s="173" customFormat="1" ht="16.5" customHeight="1" x14ac:dyDescent="0.2">
      <c r="A33" s="38">
        <f>COUNTIF($J$1:J33,"!")</f>
        <v>2</v>
      </c>
      <c r="B33" s="163" t="str">
        <f>IFERROR(VLOOKUP(C33,元件库!$B:$O,3,FALSE),"")</f>
        <v>铜排</v>
      </c>
      <c r="C33" s="164" t="s">
        <v>3340</v>
      </c>
      <c r="D33" s="165" t="str">
        <f>IFERROR(VLOOKUP(C33,元件库!$B:$O,2,FALSE),"")</f>
        <v>欣利铜材</v>
      </c>
      <c r="E33" s="166" t="str">
        <f t="shared" si="6"/>
        <v>米</v>
      </c>
      <c r="F33" s="166">
        <v>6</v>
      </c>
      <c r="G33" s="42">
        <f t="shared" si="7"/>
        <v>126.82499999999999</v>
      </c>
      <c r="H33" s="42">
        <f t="shared" si="8"/>
        <v>760.94999999999993</v>
      </c>
      <c r="I33" s="167"/>
      <c r="J33" s="168">
        <f t="shared" si="11"/>
        <v>1</v>
      </c>
      <c r="K33" s="169">
        <f t="shared" si="9"/>
        <v>126.82499999999999</v>
      </c>
      <c r="L33" s="170">
        <f>IFERROR(VLOOKUP(C33,元件库!$B:$O,10,FALSE),"1.00")</f>
        <v>1</v>
      </c>
      <c r="M33" s="171">
        <f>IFERROR(VLOOKUP(C33,元件库!$B:$O,11,FALSE),"")</f>
        <v>126.82499999999999</v>
      </c>
      <c r="N33" s="172" t="str">
        <f t="shared" ca="1" si="10"/>
        <v/>
      </c>
      <c r="P33" s="161"/>
    </row>
    <row r="34" spans="1:19" s="175" customFormat="1" ht="16.5" customHeight="1" x14ac:dyDescent="0.2">
      <c r="A34" s="38">
        <f>COUNTIF($J$1:J34,"!")</f>
        <v>2</v>
      </c>
      <c r="B34" s="163" t="s">
        <v>3341</v>
      </c>
      <c r="C34" s="164" t="s">
        <v>3342</v>
      </c>
      <c r="D34" s="165" t="s">
        <v>3321</v>
      </c>
      <c r="E34" s="166" t="str">
        <f t="shared" si="6"/>
        <v>米</v>
      </c>
      <c r="F34" s="166">
        <f>1*(MID(O34,FIND("-",O34)+1,FIND("*",O34)-FIND("-",O34)-1)/1000*IF(B34="水平排",3,1))</f>
        <v>2.4000000000000004</v>
      </c>
      <c r="G34" s="42">
        <f t="shared" si="7"/>
        <v>405.84</v>
      </c>
      <c r="H34" s="42">
        <f t="shared" si="8"/>
        <v>974.01600000000008</v>
      </c>
      <c r="I34" s="167"/>
      <c r="J34" s="168">
        <f t="shared" si="11"/>
        <v>1</v>
      </c>
      <c r="K34" s="169">
        <f t="shared" si="9"/>
        <v>405.84</v>
      </c>
      <c r="L34" s="170">
        <f>IFERROR(VLOOKUP(C34,元件库!$B:$O,10,FALSE),"1.00")</f>
        <v>1</v>
      </c>
      <c r="M34" s="171">
        <f>IFERROR(VLOOKUP(C34,元件库!$B:$O,11,FALSE),"")</f>
        <v>405.84</v>
      </c>
      <c r="N34" s="172" t="str">
        <f t="shared" ca="1" si="10"/>
        <v/>
      </c>
      <c r="O34" s="174" t="str">
        <f>O38</f>
        <v>GCS-800*800*2200</v>
      </c>
    </row>
    <row r="35" spans="1:19" s="175" customFormat="1" ht="16.5" customHeight="1" x14ac:dyDescent="0.2">
      <c r="A35" s="38">
        <f>COUNTIF($J$1:J35,"!")</f>
        <v>2</v>
      </c>
      <c r="B35" s="163" t="s">
        <v>3343</v>
      </c>
      <c r="C35" s="164" t="s">
        <v>223</v>
      </c>
      <c r="D35" s="165" t="s">
        <v>3344</v>
      </c>
      <c r="E35" s="166" t="str">
        <f t="shared" si="6"/>
        <v>米</v>
      </c>
      <c r="F35" s="166">
        <f>1*(MID(O35,FIND("-",O35)+1,FIND("*",O35)-FIND("-",O35)-1)/1000*IF(B35="水平排",3,1))</f>
        <v>0.8</v>
      </c>
      <c r="G35" s="42">
        <f t="shared" si="7"/>
        <v>405.84</v>
      </c>
      <c r="H35" s="42">
        <f t="shared" si="8"/>
        <v>324.67200000000003</v>
      </c>
      <c r="I35" s="167"/>
      <c r="J35" s="168">
        <f t="shared" si="11"/>
        <v>1</v>
      </c>
      <c r="K35" s="169">
        <f t="shared" si="9"/>
        <v>405.84</v>
      </c>
      <c r="L35" s="170">
        <f>IFERROR(VLOOKUP(C35,元件库!$B:$O,10,FALSE),"1.00")</f>
        <v>1</v>
      </c>
      <c r="M35" s="171">
        <f>IFERROR(VLOOKUP(C35,元件库!$B:$O,11,FALSE),"")</f>
        <v>405.84</v>
      </c>
      <c r="N35" s="172" t="str">
        <f t="shared" ca="1" si="10"/>
        <v/>
      </c>
      <c r="O35" s="176" t="str">
        <f>O38</f>
        <v>GCS-800*800*2200</v>
      </c>
    </row>
    <row r="36" spans="1:19" s="175" customFormat="1" ht="16.5" customHeight="1" x14ac:dyDescent="0.2">
      <c r="A36" s="38">
        <f>COUNTIF($J$1:J36,"!")</f>
        <v>2</v>
      </c>
      <c r="B36" s="163" t="s">
        <v>3345</v>
      </c>
      <c r="C36" s="164" t="s">
        <v>3346</v>
      </c>
      <c r="D36" s="165" t="s">
        <v>3344</v>
      </c>
      <c r="E36" s="166" t="str">
        <f t="shared" si="6"/>
        <v>米</v>
      </c>
      <c r="F36" s="166">
        <f>1*(MID(O36,FIND("-",O36)+1,FIND("*",O36)-FIND("-",O36)-1)/1000*IF(B36="水平排",3,1))</f>
        <v>0.8</v>
      </c>
      <c r="G36" s="42">
        <f t="shared" si="7"/>
        <v>243.50399999999999</v>
      </c>
      <c r="H36" s="42">
        <f t="shared" si="8"/>
        <v>194.8032</v>
      </c>
      <c r="I36" s="167"/>
      <c r="J36" s="168">
        <f t="shared" si="11"/>
        <v>1</v>
      </c>
      <c r="K36" s="169">
        <f t="shared" si="9"/>
        <v>243.50399999999999</v>
      </c>
      <c r="L36" s="170">
        <f>IFERROR(VLOOKUP(C36,元件库!$B:$O,10,FALSE),"1.00")</f>
        <v>1</v>
      </c>
      <c r="M36" s="171">
        <f>IFERROR(VLOOKUP(C36,元件库!$B:$O,11,FALSE),"")</f>
        <v>243.50399999999999</v>
      </c>
      <c r="N36" s="172" t="str">
        <f t="shared" ca="1" si="10"/>
        <v/>
      </c>
      <c r="O36" s="176" t="str">
        <f>O38</f>
        <v>GCS-800*800*2200</v>
      </c>
    </row>
    <row r="37" spans="1:19" ht="16.5" customHeight="1" x14ac:dyDescent="0.2">
      <c r="A37" s="38">
        <f>COUNTIF($J$1:J37,"!")</f>
        <v>2</v>
      </c>
      <c r="B37" s="177" t="s">
        <v>3347</v>
      </c>
      <c r="C37" s="164"/>
      <c r="D37" s="166"/>
      <c r="E37" s="166"/>
      <c r="F37" s="166"/>
      <c r="G37" s="42"/>
      <c r="H37" s="42"/>
      <c r="I37" s="178">
        <f>SUM(H22:H37)</f>
        <v>12152.6252</v>
      </c>
      <c r="J37" s="168"/>
      <c r="K37" s="169"/>
      <c r="L37" s="170"/>
      <c r="M37" s="171"/>
      <c r="N37" s="161"/>
      <c r="O37" s="174"/>
      <c r="R37" s="162"/>
      <c r="S37" s="162"/>
    </row>
    <row r="38" spans="1:19" ht="16.5" customHeight="1" x14ac:dyDescent="0.2">
      <c r="A38" s="38">
        <f>COUNTIF($J$1:J38,"!")</f>
        <v>2</v>
      </c>
      <c r="B38" s="179" t="s">
        <v>3348</v>
      </c>
      <c r="C38" s="164"/>
      <c r="D38" s="166"/>
      <c r="E38" s="166"/>
      <c r="F38" s="166"/>
      <c r="G38" s="42"/>
      <c r="H38" s="42">
        <f>IFERROR(J38*K38,"")</f>
        <v>1000</v>
      </c>
      <c r="I38" s="167"/>
      <c r="J38" s="168">
        <f>P$1</f>
        <v>1</v>
      </c>
      <c r="K38" s="169">
        <f>IFERROR(M38*L38,"")</f>
        <v>1000</v>
      </c>
      <c r="L38" s="170">
        <f>F22</f>
        <v>1</v>
      </c>
      <c r="M38" s="171">
        <f>IF(B38="成套费",IF(ISNUMBER(FIND("GGD",O38)),800,IF(OR(ISNUMBER(FIND("GCS",O38)),ISNUMBER(FIND("GCK",O38)),ISNUMBER(FIND("MNS",O38))),1000,"")),IF(B38="辅件费",IF(VLOOKUP(A39,A$1:B38,2,FALSE)="低压电容柜",500,300),""))</f>
        <v>1000</v>
      </c>
      <c r="N38" s="161"/>
      <c r="O38" s="180" t="str">
        <f>C22</f>
        <v>GCS-800*800*2200</v>
      </c>
      <c r="P38" s="161"/>
      <c r="R38" s="162"/>
      <c r="S38" s="162"/>
    </row>
    <row r="39" spans="1:19" s="161" customFormat="1" ht="16.5" customHeight="1" x14ac:dyDescent="0.2">
      <c r="A39" s="38">
        <f>COUNTIF($J$1:J39,"!")</f>
        <v>2</v>
      </c>
      <c r="B39" s="179" t="s">
        <v>3349</v>
      </c>
      <c r="C39" s="164"/>
      <c r="D39" s="166"/>
      <c r="E39" s="166"/>
      <c r="F39" s="166"/>
      <c r="G39" s="42"/>
      <c r="H39" s="42">
        <f>IFERROR(J39*K39,"")</f>
        <v>500</v>
      </c>
      <c r="I39" s="167"/>
      <c r="J39" s="168">
        <f>P$1</f>
        <v>1</v>
      </c>
      <c r="K39" s="169">
        <f>IFERROR(M39*L39,"")</f>
        <v>500</v>
      </c>
      <c r="L39" s="170">
        <f>L38</f>
        <v>1</v>
      </c>
      <c r="M39" s="171">
        <f>IF(B39="成套费",IF(ISNUMBER(FIND("GGD",O39)),800,IF(OR(ISNUMBER(FIND("GCS",O39)),ISNUMBER(FIND("GCK",O39)),ISNUMBER(FIND("MNS",O39))),1000,"")),IF(B39="辅件费",IF(VLOOKUP(A40,A$1:B39,2,FALSE)="低压电容柜",500,300),""))</f>
        <v>500</v>
      </c>
      <c r="N39" s="181"/>
      <c r="O39" s="182" t="str">
        <f>O38</f>
        <v>GCS-800*800*2200</v>
      </c>
      <c r="R39" s="162"/>
      <c r="S39" s="162"/>
    </row>
    <row r="40" spans="1:19" s="161" customFormat="1" ht="16.5" customHeight="1" x14ac:dyDescent="0.2">
      <c r="A40" s="38">
        <f>COUNTIF($J$1:J40,"!")</f>
        <v>2</v>
      </c>
      <c r="B40" s="179" t="s">
        <v>3350</v>
      </c>
      <c r="C40" s="164"/>
      <c r="D40" s="166"/>
      <c r="E40" s="166"/>
      <c r="F40" s="166"/>
      <c r="G40" s="42"/>
      <c r="H40" s="42">
        <f>K40*L40</f>
        <v>1638.315024</v>
      </c>
      <c r="I40" s="167"/>
      <c r="J40" s="168"/>
      <c r="K40" s="169">
        <f>SUM(H37:H39)+I37</f>
        <v>13652.6252</v>
      </c>
      <c r="L40" s="279">
        <f>R$1</f>
        <v>0.12</v>
      </c>
      <c r="M40" s="171"/>
      <c r="N40" s="181"/>
      <c r="O40" s="162"/>
      <c r="R40" s="162"/>
      <c r="S40" s="162"/>
    </row>
    <row r="41" spans="1:19" ht="16.5" customHeight="1" x14ac:dyDescent="0.2">
      <c r="A41" s="38">
        <f>COUNTIF($J$1:J41,"!")</f>
        <v>2</v>
      </c>
      <c r="B41" s="179" t="s">
        <v>3351</v>
      </c>
      <c r="C41" s="164"/>
      <c r="D41" s="166"/>
      <c r="E41" s="166"/>
      <c r="F41" s="166"/>
      <c r="G41" s="184"/>
      <c r="H41" s="42">
        <f>K41*L41</f>
        <v>458.72820672</v>
      </c>
      <c r="I41" s="167"/>
      <c r="J41" s="168"/>
      <c r="K41" s="169">
        <f>H40+K40</f>
        <v>15290.940224</v>
      </c>
      <c r="L41" s="279">
        <f>T$1</f>
        <v>0.03</v>
      </c>
      <c r="M41" s="171"/>
      <c r="N41" s="161"/>
      <c r="O41" s="162"/>
      <c r="P41" s="161"/>
      <c r="R41" s="162"/>
      <c r="S41" s="162"/>
    </row>
    <row r="42" spans="1:19" ht="16.5" customHeight="1" x14ac:dyDescent="0.15">
      <c r="A42" s="32">
        <f>COUNTIF($J$1:J42,"!")</f>
        <v>3</v>
      </c>
      <c r="B42" s="33" t="s">
        <v>3352</v>
      </c>
      <c r="C42" s="158" t="s">
        <v>3353</v>
      </c>
      <c r="D42" s="159"/>
      <c r="E42" s="34" t="s">
        <v>23</v>
      </c>
      <c r="F42" s="159">
        <v>2</v>
      </c>
      <c r="G42" s="36">
        <f>ROUND(SUM(H43:H58),0)</f>
        <v>16926</v>
      </c>
      <c r="H42" s="160" t="str">
        <f>IF(ISNUMBER(FIND(" ",C43)),MID(C43,1,FIND(" ",C43)-1),IF(ISNUMBER(FIND("电容柜",B42)),"GGJ",MID(C43,1,FIND("-",C43)-1)))</f>
        <v>GCS</v>
      </c>
      <c r="I42" s="47" t="str">
        <f>MID(C43,IF(LEN(C43)-LEN(H42)&gt;3,LEN(H42)+2,1),30)</f>
        <v>800*800*2200</v>
      </c>
      <c r="J42" s="48" t="s">
        <v>24</v>
      </c>
      <c r="K42" s="49"/>
      <c r="L42" s="50"/>
      <c r="M42" s="51"/>
      <c r="N42" s="161"/>
      <c r="O42" s="162"/>
      <c r="P42" s="161"/>
      <c r="R42" s="162"/>
      <c r="S42" s="162"/>
    </row>
    <row r="43" spans="1:19" ht="16.5" customHeight="1" x14ac:dyDescent="0.2">
      <c r="A43" s="38">
        <f>COUNTIF($J$1:J43,"!")</f>
        <v>3</v>
      </c>
      <c r="B43" s="163" t="s">
        <v>3354</v>
      </c>
      <c r="C43" s="164" t="s">
        <v>3355</v>
      </c>
      <c r="D43" s="165" t="s">
        <v>3242</v>
      </c>
      <c r="E43" s="166" t="str">
        <f t="shared" ref="E43:E53" si="12">IF(D43="欣利铜材","米",IF(B43="熔断器","套","只"))</f>
        <v>只</v>
      </c>
      <c r="F43" s="166">
        <v>1</v>
      </c>
      <c r="G43" s="42">
        <f t="shared" ref="G43:G53" si="13">IFERROR(J43*K43,"")</f>
        <v>1900</v>
      </c>
      <c r="H43" s="42">
        <f t="shared" ref="H43:H53" si="14">IFERROR(G43*F43,"")</f>
        <v>1900</v>
      </c>
      <c r="I43" s="167"/>
      <c r="J43" s="168">
        <f>P$1</f>
        <v>1</v>
      </c>
      <c r="K43" s="169">
        <f t="shared" ref="K43:K53" si="15">IFERROR(M43*L43,"")</f>
        <v>1900</v>
      </c>
      <c r="L43" s="170">
        <f>IFERROR(VLOOKUP(C43,元件库!$B:$O,10,FALSE),"1.00")</f>
        <v>1</v>
      </c>
      <c r="M43" s="171">
        <f>IFERROR(VLOOKUP(C43,元件库!$B:$O,11,FALSE),"")</f>
        <v>1900</v>
      </c>
      <c r="N43" s="172" t="str">
        <f t="shared" ref="N43:N53" ca="1" si="16">IF(AND(ISNUMBER(FIND("IF",_xlfn.FORMULATEXT(L43))),ISNUMBER(FIND("IF",_xlfn.FORMULATEXT(M43)))),"","值")</f>
        <v/>
      </c>
      <c r="O43" s="157" t="str">
        <f>B42</f>
        <v>低压馈线柜</v>
      </c>
      <c r="P43" s="161"/>
      <c r="R43" s="162"/>
      <c r="S43" s="162"/>
    </row>
    <row r="44" spans="1:19" s="173" customFormat="1" ht="16.5" customHeight="1" x14ac:dyDescent="0.2">
      <c r="A44" s="38">
        <f>COUNTIF($J$1:J44,"!")</f>
        <v>3</v>
      </c>
      <c r="B44" s="163" t="str">
        <f>IFERROR(VLOOKUP(C44,元件库!$B:$O,3,FALSE),"")</f>
        <v>塑壳断路器</v>
      </c>
      <c r="C44" s="164" t="s">
        <v>3356</v>
      </c>
      <c r="D44" s="165" t="str">
        <f>IFERROR(VLOOKUP(C44,元件库!$B:$O,2,FALSE),"")</f>
        <v>正泰电器</v>
      </c>
      <c r="E44" s="166" t="str">
        <f t="shared" si="12"/>
        <v>只</v>
      </c>
      <c r="F44" s="166">
        <v>5</v>
      </c>
      <c r="G44" s="42">
        <f t="shared" si="13"/>
        <v>387.75000000000006</v>
      </c>
      <c r="H44" s="42">
        <f t="shared" si="14"/>
        <v>1938.7500000000002</v>
      </c>
      <c r="I44" s="167"/>
      <c r="J44" s="168">
        <f t="shared" ref="J44:J53" si="17">P$1</f>
        <v>1</v>
      </c>
      <c r="K44" s="169">
        <f t="shared" si="15"/>
        <v>387.75000000000006</v>
      </c>
      <c r="L44" s="170">
        <f>IFERROR(VLOOKUP(C44,元件库!$B:$O,10,FALSE),"1.00")</f>
        <v>0.55000000000000004</v>
      </c>
      <c r="M44" s="171">
        <f>IFERROR(VLOOKUP(C44,元件库!$B:$O,11,FALSE),"")</f>
        <v>705</v>
      </c>
      <c r="N44" s="172" t="str">
        <f t="shared" ca="1" si="16"/>
        <v/>
      </c>
      <c r="P44" s="161"/>
    </row>
    <row r="45" spans="1:19" s="173" customFormat="1" ht="16.5" customHeight="1" x14ac:dyDescent="0.2">
      <c r="A45" s="38">
        <f>COUNTIF($J$1:J45,"!")</f>
        <v>3</v>
      </c>
      <c r="B45" s="163" t="str">
        <f>IFERROR(VLOOKUP(C45,元件库!$B:$O,3,FALSE),"")</f>
        <v/>
      </c>
      <c r="C45" s="164" t="s">
        <v>3357</v>
      </c>
      <c r="D45" s="165" t="str">
        <f>IFERROR(VLOOKUP(C45,元件库!$B:$O,2,FALSE),"")</f>
        <v/>
      </c>
      <c r="E45" s="166" t="str">
        <f t="shared" si="12"/>
        <v>只</v>
      </c>
      <c r="F45" s="166">
        <v>15</v>
      </c>
      <c r="G45" s="42" t="str">
        <f t="shared" si="13"/>
        <v/>
      </c>
      <c r="H45" s="42" t="str">
        <f t="shared" si="14"/>
        <v/>
      </c>
      <c r="I45" s="167"/>
      <c r="J45" s="168">
        <f t="shared" si="17"/>
        <v>1</v>
      </c>
      <c r="K45" s="169" t="str">
        <f t="shared" si="15"/>
        <v/>
      </c>
      <c r="L45" s="170" t="str">
        <f>IFERROR(VLOOKUP(C45,元件库!$B:$O,10,FALSE),"1.00")</f>
        <v>1.00</v>
      </c>
      <c r="M45" s="171" t="str">
        <f>IFERROR(VLOOKUP(C45,元件库!$B:$O,11,FALSE),"")</f>
        <v/>
      </c>
      <c r="N45" s="172" t="str">
        <f t="shared" ca="1" si="16"/>
        <v/>
      </c>
      <c r="P45" s="161"/>
    </row>
    <row r="46" spans="1:19" s="173" customFormat="1" ht="16.5" customHeight="1" x14ac:dyDescent="0.2">
      <c r="A46" s="38">
        <f>COUNTIF($J$1:J46,"!")</f>
        <v>3</v>
      </c>
      <c r="B46" s="163" t="str">
        <f>IFERROR(VLOOKUP(C46,元件库!$B:$O,3,FALSE),"")</f>
        <v>多功能数显表</v>
      </c>
      <c r="C46" s="164" t="s">
        <v>3358</v>
      </c>
      <c r="D46" s="166" t="str">
        <f>IFERROR(VLOOKUP(C46,元件库!$B:$O,2,FALSE),"")</f>
        <v>实德电气</v>
      </c>
      <c r="E46" s="166" t="str">
        <f t="shared" si="12"/>
        <v>只</v>
      </c>
      <c r="F46" s="166">
        <v>5</v>
      </c>
      <c r="G46" s="42">
        <f t="shared" si="13"/>
        <v>200</v>
      </c>
      <c r="H46" s="42">
        <f t="shared" si="14"/>
        <v>1000</v>
      </c>
      <c r="I46" s="167"/>
      <c r="J46" s="168">
        <f t="shared" si="17"/>
        <v>1</v>
      </c>
      <c r="K46" s="169">
        <f t="shared" si="15"/>
        <v>200</v>
      </c>
      <c r="L46" s="170">
        <f>IFERROR(VLOOKUP(C46,元件库!$B:$O,10,FALSE),"1.00")</f>
        <v>1</v>
      </c>
      <c r="M46" s="171">
        <f>IFERROR(VLOOKUP(C46,元件库!$B:$O,11,FALSE),"")</f>
        <v>200</v>
      </c>
      <c r="N46" s="172" t="str">
        <f t="shared" ca="1" si="16"/>
        <v/>
      </c>
      <c r="P46" s="161"/>
    </row>
    <row r="47" spans="1:19" s="173" customFormat="1" ht="16.5" customHeight="1" x14ac:dyDescent="0.2">
      <c r="A47" s="38">
        <f>COUNTIF($J$1:J47,"!")</f>
        <v>3</v>
      </c>
      <c r="B47" s="163" t="str">
        <f>IFERROR(VLOOKUP(C47,元件库!$B:$O,3,FALSE),"")</f>
        <v>指示灯</v>
      </c>
      <c r="C47" s="164" t="s">
        <v>3359</v>
      </c>
      <c r="D47" s="165" t="str">
        <f>IFERROR(VLOOKUP(C47,元件库!$B:$O,2,FALSE),"")</f>
        <v>精益联合集团</v>
      </c>
      <c r="E47" s="166" t="str">
        <f t="shared" si="12"/>
        <v>只</v>
      </c>
      <c r="F47" s="166">
        <v>5</v>
      </c>
      <c r="G47" s="42">
        <f t="shared" si="13"/>
        <v>2.3100000000000005</v>
      </c>
      <c r="H47" s="42">
        <f t="shared" si="14"/>
        <v>11.550000000000002</v>
      </c>
      <c r="I47" s="167"/>
      <c r="J47" s="168">
        <f t="shared" si="17"/>
        <v>1</v>
      </c>
      <c r="K47" s="169">
        <f t="shared" si="15"/>
        <v>2.3100000000000005</v>
      </c>
      <c r="L47" s="170">
        <f>IFERROR(VLOOKUP(C47,元件库!$B:$O,10,FALSE),"1.00")</f>
        <v>0.55000000000000004</v>
      </c>
      <c r="M47" s="171">
        <f>IFERROR(VLOOKUP(C47,元件库!$B:$O,11,FALSE),"")</f>
        <v>4.2</v>
      </c>
      <c r="N47" s="172" t="str">
        <f t="shared" ca="1" si="16"/>
        <v/>
      </c>
      <c r="P47" s="161"/>
    </row>
    <row r="48" spans="1:19" s="173" customFormat="1" ht="16.5" customHeight="1" x14ac:dyDescent="0.2">
      <c r="A48" s="38">
        <f>COUNTIF($J$1:J48,"!")</f>
        <v>3</v>
      </c>
      <c r="B48" s="163" t="str">
        <f>IFERROR(VLOOKUP(C48,元件库!$B:$O,3,FALSE),"")</f>
        <v>抽屉单元</v>
      </c>
      <c r="C48" s="164" t="s">
        <v>3360</v>
      </c>
      <c r="D48" s="165" t="str">
        <f>IFERROR(VLOOKUP(C48,元件库!$B:$O,2,FALSE),"")</f>
        <v>精益联合集团</v>
      </c>
      <c r="E48" s="166" t="str">
        <f t="shared" si="12"/>
        <v>只</v>
      </c>
      <c r="F48" s="166">
        <v>5</v>
      </c>
      <c r="G48" s="42">
        <f t="shared" si="13"/>
        <v>520</v>
      </c>
      <c r="H48" s="42">
        <f t="shared" si="14"/>
        <v>2600</v>
      </c>
      <c r="I48" s="167"/>
      <c r="J48" s="168">
        <f t="shared" si="17"/>
        <v>1</v>
      </c>
      <c r="K48" s="169">
        <f t="shared" si="15"/>
        <v>520</v>
      </c>
      <c r="L48" s="170">
        <f>IFERROR(VLOOKUP(C48,元件库!$B:$O,10,FALSE),"1.00")</f>
        <v>1</v>
      </c>
      <c r="M48" s="171">
        <f>IFERROR(VLOOKUP(C48,元件库!$B:$O,11,FALSE),"")</f>
        <v>520</v>
      </c>
      <c r="N48" s="172" t="str">
        <f t="shared" ca="1" si="16"/>
        <v/>
      </c>
      <c r="P48" s="161"/>
    </row>
    <row r="49" spans="1:19" s="173" customFormat="1" ht="16.5" customHeight="1" x14ac:dyDescent="0.2">
      <c r="A49" s="38">
        <f>COUNTIF($J$1:J49,"!")</f>
        <v>3</v>
      </c>
      <c r="B49" s="163" t="str">
        <f>IFERROR(VLOOKUP(C49,元件库!$B:$O,3,FALSE),"")</f>
        <v>铜排</v>
      </c>
      <c r="C49" s="164" t="s">
        <v>3361</v>
      </c>
      <c r="D49" s="165" t="str">
        <f>IFERROR(VLOOKUP(C49,元件库!$B:$O,2,FALSE),"")</f>
        <v>欣利铜材</v>
      </c>
      <c r="E49" s="166" t="str">
        <f t="shared" si="12"/>
        <v>米</v>
      </c>
      <c r="F49" s="166">
        <v>9</v>
      </c>
      <c r="G49" s="42">
        <f t="shared" si="13"/>
        <v>365.25599999999997</v>
      </c>
      <c r="H49" s="42">
        <f t="shared" si="14"/>
        <v>3287.3039999999996</v>
      </c>
      <c r="I49" s="167"/>
      <c r="J49" s="168">
        <f t="shared" si="17"/>
        <v>1</v>
      </c>
      <c r="K49" s="169">
        <f t="shared" si="15"/>
        <v>365.25599999999997</v>
      </c>
      <c r="L49" s="170">
        <f>IFERROR(VLOOKUP(C49,元件库!$B:$O,10,FALSE),"1.00")</f>
        <v>1</v>
      </c>
      <c r="M49" s="171">
        <f>IFERROR(VLOOKUP(C49,元件库!$B:$O,11,FALSE),"")</f>
        <v>365.25599999999997</v>
      </c>
      <c r="N49" s="172" t="str">
        <f t="shared" ca="1" si="16"/>
        <v/>
      </c>
      <c r="P49" s="161"/>
    </row>
    <row r="50" spans="1:19" s="173" customFormat="1" ht="16.5" customHeight="1" x14ac:dyDescent="0.2">
      <c r="A50" s="38">
        <f>COUNTIF($J$1:J50,"!")</f>
        <v>3</v>
      </c>
      <c r="B50" s="163" t="str">
        <f>IFERROR(VLOOKUP(C50,元件库!$B:$O,3,FALSE),"")</f>
        <v>铜排</v>
      </c>
      <c r="C50" s="164" t="s">
        <v>3362</v>
      </c>
      <c r="D50" s="165" t="str">
        <f>IFERROR(VLOOKUP(C50,元件库!$B:$O,2,FALSE),"")</f>
        <v>欣利铜材</v>
      </c>
      <c r="E50" s="166" t="str">
        <f t="shared" si="12"/>
        <v>米</v>
      </c>
      <c r="F50" s="166">
        <v>15</v>
      </c>
      <c r="G50" s="42">
        <f t="shared" si="13"/>
        <v>76.094999999999999</v>
      </c>
      <c r="H50" s="42">
        <f t="shared" si="14"/>
        <v>1141.425</v>
      </c>
      <c r="I50" s="167"/>
      <c r="J50" s="168">
        <f t="shared" si="17"/>
        <v>1</v>
      </c>
      <c r="K50" s="169">
        <f t="shared" si="15"/>
        <v>76.094999999999999</v>
      </c>
      <c r="L50" s="170">
        <f>IFERROR(VLOOKUP(C50,元件库!$B:$O,10,FALSE),"1.00")</f>
        <v>1</v>
      </c>
      <c r="M50" s="171">
        <f>IFERROR(VLOOKUP(C50,元件库!$B:$O,11,FALSE),"")</f>
        <v>76.094999999999999</v>
      </c>
      <c r="N50" s="172" t="str">
        <f t="shared" ca="1" si="16"/>
        <v/>
      </c>
      <c r="P50" s="161"/>
    </row>
    <row r="51" spans="1:19" s="175" customFormat="1" ht="16.5" customHeight="1" x14ac:dyDescent="0.2">
      <c r="A51" s="38">
        <f>COUNTIF($J$1:J51,"!")</f>
        <v>3</v>
      </c>
      <c r="B51" s="163" t="s">
        <v>3363</v>
      </c>
      <c r="C51" s="164" t="s">
        <v>3364</v>
      </c>
      <c r="D51" s="165" t="s">
        <v>3365</v>
      </c>
      <c r="E51" s="166" t="str">
        <f t="shared" si="12"/>
        <v>米</v>
      </c>
      <c r="F51" s="166">
        <f>1*(MID(O51,FIND("-",O51)+1,FIND("*",O51)-FIND("-",O51)-1)/1000*IF(B51="水平排",3,1))</f>
        <v>2.4000000000000004</v>
      </c>
      <c r="G51" s="42">
        <f t="shared" si="13"/>
        <v>405.84</v>
      </c>
      <c r="H51" s="42">
        <f t="shared" si="14"/>
        <v>974.01600000000008</v>
      </c>
      <c r="I51" s="167"/>
      <c r="J51" s="168">
        <f t="shared" si="17"/>
        <v>1</v>
      </c>
      <c r="K51" s="169">
        <f t="shared" si="15"/>
        <v>405.84</v>
      </c>
      <c r="L51" s="170">
        <f>IFERROR(VLOOKUP(C51,元件库!$B:$O,10,FALSE),"1.00")</f>
        <v>1</v>
      </c>
      <c r="M51" s="171">
        <f>IFERROR(VLOOKUP(C51,元件库!$B:$O,11,FALSE),"")</f>
        <v>405.84</v>
      </c>
      <c r="N51" s="172" t="str">
        <f t="shared" ca="1" si="16"/>
        <v/>
      </c>
      <c r="O51" s="174" t="str">
        <f>O55</f>
        <v>GCS-800*800*2200</v>
      </c>
    </row>
    <row r="52" spans="1:19" s="175" customFormat="1" ht="16.5" customHeight="1" x14ac:dyDescent="0.2">
      <c r="A52" s="38">
        <f>COUNTIF($J$1:J52,"!")</f>
        <v>3</v>
      </c>
      <c r="B52" s="163" t="s">
        <v>3366</v>
      </c>
      <c r="C52" s="164" t="s">
        <v>223</v>
      </c>
      <c r="D52" s="165" t="s">
        <v>3367</v>
      </c>
      <c r="E52" s="166" t="str">
        <f t="shared" si="12"/>
        <v>米</v>
      </c>
      <c r="F52" s="166">
        <f>1*(MID(O52,FIND("-",O52)+1,FIND("*",O52)-FIND("-",O52)-1)/1000*IF(B52="水平排",3,1))</f>
        <v>0.8</v>
      </c>
      <c r="G52" s="42">
        <f t="shared" si="13"/>
        <v>405.84</v>
      </c>
      <c r="H52" s="42">
        <f t="shared" si="14"/>
        <v>324.67200000000003</v>
      </c>
      <c r="I52" s="167"/>
      <c r="J52" s="168">
        <f t="shared" si="17"/>
        <v>1</v>
      </c>
      <c r="K52" s="169">
        <f t="shared" si="15"/>
        <v>405.84</v>
      </c>
      <c r="L52" s="170">
        <f>IFERROR(VLOOKUP(C52,元件库!$B:$O,10,FALSE),"1.00")</f>
        <v>1</v>
      </c>
      <c r="M52" s="171">
        <f>IFERROR(VLOOKUP(C52,元件库!$B:$O,11,FALSE),"")</f>
        <v>405.84</v>
      </c>
      <c r="N52" s="172" t="str">
        <f t="shared" ca="1" si="16"/>
        <v/>
      </c>
      <c r="O52" s="176" t="str">
        <f>O55</f>
        <v>GCS-800*800*2200</v>
      </c>
    </row>
    <row r="53" spans="1:19" s="175" customFormat="1" ht="16.5" customHeight="1" x14ac:dyDescent="0.2">
      <c r="A53" s="38">
        <f>COUNTIF($J$1:J53,"!")</f>
        <v>3</v>
      </c>
      <c r="B53" s="163" t="s">
        <v>3368</v>
      </c>
      <c r="C53" s="164" t="s">
        <v>3369</v>
      </c>
      <c r="D53" s="165" t="s">
        <v>3367</v>
      </c>
      <c r="E53" s="166" t="str">
        <f t="shared" si="12"/>
        <v>米</v>
      </c>
      <c r="F53" s="166">
        <f>1*(MID(O53,FIND("-",O53)+1,FIND("*",O53)-FIND("-",O53)-1)/1000*IF(B53="水平排",3,1))</f>
        <v>0.8</v>
      </c>
      <c r="G53" s="42">
        <f t="shared" si="13"/>
        <v>243.50399999999999</v>
      </c>
      <c r="H53" s="42">
        <f t="shared" si="14"/>
        <v>194.8032</v>
      </c>
      <c r="I53" s="167"/>
      <c r="J53" s="168">
        <f t="shared" si="17"/>
        <v>1</v>
      </c>
      <c r="K53" s="169">
        <f t="shared" si="15"/>
        <v>243.50399999999999</v>
      </c>
      <c r="L53" s="170">
        <f>IFERROR(VLOOKUP(C53,元件库!$B:$O,10,FALSE),"1.00")</f>
        <v>1</v>
      </c>
      <c r="M53" s="171">
        <f>IFERROR(VLOOKUP(C53,元件库!$B:$O,11,FALSE),"")</f>
        <v>243.50399999999999</v>
      </c>
      <c r="N53" s="172" t="str">
        <f t="shared" ca="1" si="16"/>
        <v/>
      </c>
      <c r="O53" s="176" t="str">
        <f>O55</f>
        <v>GCS-800*800*2200</v>
      </c>
    </row>
    <row r="54" spans="1:19" ht="16.5" customHeight="1" x14ac:dyDescent="0.2">
      <c r="A54" s="38">
        <f>COUNTIF($J$1:J54,"!")</f>
        <v>3</v>
      </c>
      <c r="B54" s="177" t="s">
        <v>3370</v>
      </c>
      <c r="C54" s="164"/>
      <c r="D54" s="166"/>
      <c r="E54" s="166"/>
      <c r="F54" s="166"/>
      <c r="G54" s="42"/>
      <c r="H54" s="42"/>
      <c r="I54" s="178">
        <f>SUM(H43:H54)</f>
        <v>13372.520199999999</v>
      </c>
      <c r="J54" s="168"/>
      <c r="K54" s="169"/>
      <c r="L54" s="170"/>
      <c r="M54" s="171"/>
      <c r="N54" s="161"/>
      <c r="O54" s="174"/>
      <c r="R54" s="162"/>
      <c r="S54" s="162"/>
    </row>
    <row r="55" spans="1:19" ht="16.5" customHeight="1" x14ac:dyDescent="0.2">
      <c r="A55" s="38">
        <f>COUNTIF($J$1:J55,"!")</f>
        <v>3</v>
      </c>
      <c r="B55" s="179" t="s">
        <v>3371</v>
      </c>
      <c r="C55" s="164"/>
      <c r="D55" s="166"/>
      <c r="E55" s="166"/>
      <c r="F55" s="166"/>
      <c r="G55" s="42"/>
      <c r="H55" s="42">
        <f>IFERROR(J55*K55,"")</f>
        <v>1000</v>
      </c>
      <c r="I55" s="167"/>
      <c r="J55" s="168">
        <f>P$1</f>
        <v>1</v>
      </c>
      <c r="K55" s="169">
        <f>IFERROR(M55*L55,"")</f>
        <v>1000</v>
      </c>
      <c r="L55" s="170">
        <f>F43</f>
        <v>1</v>
      </c>
      <c r="M55" s="171">
        <f>IF(B55="成套费",IF(ISNUMBER(FIND("GGD",O55)),800,IF(OR(ISNUMBER(FIND("GCS",O55)),ISNUMBER(FIND("GCK",O55)),ISNUMBER(FIND("MNS",O55))),1000,"")),IF(B55="辅件费",IF(VLOOKUP(A56,A$1:B55,2,FALSE)="低压电容柜",500,300),""))</f>
        <v>1000</v>
      </c>
      <c r="N55" s="161"/>
      <c r="O55" s="180" t="str">
        <f>C43</f>
        <v>GCS-800*800*2200</v>
      </c>
      <c r="P55" s="161"/>
      <c r="R55" s="162"/>
      <c r="S55" s="162"/>
    </row>
    <row r="56" spans="1:19" s="161" customFormat="1" ht="16.5" customHeight="1" x14ac:dyDescent="0.2">
      <c r="A56" s="38">
        <f>COUNTIF($J$1:J56,"!")</f>
        <v>3</v>
      </c>
      <c r="B56" s="179" t="s">
        <v>3372</v>
      </c>
      <c r="C56" s="164"/>
      <c r="D56" s="166"/>
      <c r="E56" s="166"/>
      <c r="F56" s="166"/>
      <c r="G56" s="42"/>
      <c r="H56" s="42">
        <f>IFERROR(J56*K56,"")</f>
        <v>300</v>
      </c>
      <c r="I56" s="167"/>
      <c r="J56" s="168">
        <f>P$1</f>
        <v>1</v>
      </c>
      <c r="K56" s="169">
        <f>IFERROR(M56*L56,"")</f>
        <v>300</v>
      </c>
      <c r="L56" s="170">
        <f>L55</f>
        <v>1</v>
      </c>
      <c r="M56" s="171">
        <f>IF(B56="成套费",IF(ISNUMBER(FIND("GGD",O56)),800,IF(OR(ISNUMBER(FIND("GCS",O56)),ISNUMBER(FIND("GCK",O56)),ISNUMBER(FIND("MNS",O56))),1000,"")),IF(B56="辅件费",IF(VLOOKUP(A57,A$1:B56,2,FALSE)="低压电容柜",500,300),""))</f>
        <v>300</v>
      </c>
      <c r="N56" s="181"/>
      <c r="O56" s="182" t="str">
        <f>O55</f>
        <v>GCS-800*800*2200</v>
      </c>
      <c r="R56" s="162"/>
      <c r="S56" s="162"/>
    </row>
    <row r="57" spans="1:19" s="161" customFormat="1" ht="16.5" customHeight="1" x14ac:dyDescent="0.2">
      <c r="A57" s="38">
        <f>COUNTIF($J$1:J57,"!")</f>
        <v>3</v>
      </c>
      <c r="B57" s="179" t="s">
        <v>3373</v>
      </c>
      <c r="C57" s="164"/>
      <c r="D57" s="166"/>
      <c r="E57" s="166"/>
      <c r="F57" s="166"/>
      <c r="G57" s="42"/>
      <c r="H57" s="42">
        <f>K57*L57</f>
        <v>1760.7024239999998</v>
      </c>
      <c r="I57" s="167"/>
      <c r="J57" s="168"/>
      <c r="K57" s="169">
        <f>SUM(H54:H56)+I54</f>
        <v>14672.520199999999</v>
      </c>
      <c r="L57" s="279">
        <f>R$1</f>
        <v>0.12</v>
      </c>
      <c r="M57" s="171"/>
      <c r="N57" s="181"/>
      <c r="O57" s="162"/>
      <c r="R57" s="162"/>
      <c r="S57" s="162"/>
    </row>
    <row r="58" spans="1:19" ht="16.5" customHeight="1" x14ac:dyDescent="0.2">
      <c r="A58" s="38">
        <f>COUNTIF($J$1:J58,"!")</f>
        <v>3</v>
      </c>
      <c r="B58" s="179" t="s">
        <v>3374</v>
      </c>
      <c r="C58" s="164"/>
      <c r="D58" s="166"/>
      <c r="E58" s="166"/>
      <c r="F58" s="166"/>
      <c r="G58" s="184"/>
      <c r="H58" s="42">
        <f>K58*L58</f>
        <v>492.99667871999992</v>
      </c>
      <c r="I58" s="167"/>
      <c r="J58" s="168"/>
      <c r="K58" s="169">
        <f>H57+K57</f>
        <v>16433.222623999998</v>
      </c>
      <c r="L58" s="279">
        <f>T$1</f>
        <v>0.03</v>
      </c>
      <c r="M58" s="171"/>
      <c r="N58" s="161"/>
      <c r="O58" s="162"/>
      <c r="P58" s="161"/>
      <c r="R58" s="162"/>
      <c r="S58" s="162"/>
    </row>
    <row r="59" spans="1:19" ht="16.5" customHeight="1" x14ac:dyDescent="0.15">
      <c r="A59" s="32">
        <f>COUNTIF($J$1:J59,"!")</f>
        <v>4</v>
      </c>
      <c r="B59" s="33" t="s">
        <v>3375</v>
      </c>
      <c r="C59" s="158" t="s">
        <v>3376</v>
      </c>
      <c r="D59" s="159"/>
      <c r="E59" s="34" t="s">
        <v>23</v>
      </c>
      <c r="F59" s="159">
        <v>1</v>
      </c>
      <c r="G59" s="36">
        <f>ROUND(SUM(H60:H75),0)</f>
        <v>21104</v>
      </c>
      <c r="H59" s="160" t="str">
        <f>IF(ISNUMBER(FIND(" ",C60)),MID(C60,1,FIND(" ",C60)-1),IF(ISNUMBER(FIND("电容柜",B59)),"GGJ",MID(C60,1,FIND("-",C60)-1)))</f>
        <v>GCS</v>
      </c>
      <c r="I59" s="47" t="str">
        <f>MID(C60,IF(LEN(C60)-LEN(H59)&gt;3,LEN(H59)+2,1),30)</f>
        <v>800*800*2200</v>
      </c>
      <c r="J59" s="48" t="s">
        <v>24</v>
      </c>
      <c r="K59" s="49"/>
      <c r="L59" s="50"/>
      <c r="M59" s="51"/>
      <c r="N59" s="161"/>
      <c r="O59" s="162"/>
      <c r="P59" s="161"/>
      <c r="R59" s="162"/>
      <c r="S59" s="162"/>
    </row>
    <row r="60" spans="1:19" ht="16.5" customHeight="1" x14ac:dyDescent="0.2">
      <c r="A60" s="38">
        <f>COUNTIF($J$1:J60,"!")</f>
        <v>4</v>
      </c>
      <c r="B60" s="163" t="s">
        <v>3377</v>
      </c>
      <c r="C60" s="164" t="s">
        <v>3378</v>
      </c>
      <c r="D60" s="165" t="s">
        <v>3242</v>
      </c>
      <c r="E60" s="166" t="str">
        <f t="shared" ref="E60:E70" si="18">IF(D60="欣利铜材","米",IF(B60="熔断器","套","只"))</f>
        <v>只</v>
      </c>
      <c r="F60" s="166">
        <v>1</v>
      </c>
      <c r="G60" s="42">
        <f t="shared" ref="G60:G70" si="19">IFERROR(J60*K60,"")</f>
        <v>1900</v>
      </c>
      <c r="H60" s="42">
        <f t="shared" ref="H60:H70" si="20">IFERROR(G60*F60,"")</f>
        <v>1900</v>
      </c>
      <c r="I60" s="167"/>
      <c r="J60" s="168">
        <f>P$1</f>
        <v>1</v>
      </c>
      <c r="K60" s="169">
        <f t="shared" ref="K60:K70" si="21">IFERROR(M60*L60,"")</f>
        <v>1900</v>
      </c>
      <c r="L60" s="170">
        <f>IFERROR(VLOOKUP(C60,元件库!$B:$O,10,FALSE),"1.00")</f>
        <v>1</v>
      </c>
      <c r="M60" s="171">
        <f>IFERROR(VLOOKUP(C60,元件库!$B:$O,11,FALSE),"")</f>
        <v>1900</v>
      </c>
      <c r="N60" s="172" t="str">
        <f t="shared" ref="N60:N70" ca="1" si="22">IF(AND(ISNUMBER(FIND("IF",_xlfn.FORMULATEXT(L60))),ISNUMBER(FIND("IF",_xlfn.FORMULATEXT(M60)))),"","值")</f>
        <v/>
      </c>
      <c r="O60" s="157" t="str">
        <f>B59</f>
        <v>低压联络柜</v>
      </c>
      <c r="P60" s="161"/>
      <c r="R60" s="162"/>
      <c r="S60" s="162"/>
    </row>
    <row r="61" spans="1:19" s="173" customFormat="1" ht="16.5" customHeight="1" x14ac:dyDescent="0.2">
      <c r="A61" s="38">
        <f>COUNTIF($J$1:J61,"!")</f>
        <v>4</v>
      </c>
      <c r="B61" s="163" t="str">
        <f>IFERROR(VLOOKUP(C61,元件库!$B:$O,3,FALSE),"")</f>
        <v>三锁两钥匙</v>
      </c>
      <c r="C61" s="164" t="s">
        <v>3379</v>
      </c>
      <c r="D61" s="165" t="str">
        <f>IFERROR(VLOOKUP(C61,元件库!$B:$O,2,FALSE),"")</f>
        <v>正泰电器</v>
      </c>
      <c r="E61" s="166" t="str">
        <f t="shared" si="18"/>
        <v>只</v>
      </c>
      <c r="F61" s="166">
        <v>1</v>
      </c>
      <c r="G61" s="42">
        <f t="shared" si="19"/>
        <v>499.95000000000005</v>
      </c>
      <c r="H61" s="42">
        <f t="shared" si="20"/>
        <v>499.95000000000005</v>
      </c>
      <c r="I61" s="167"/>
      <c r="J61" s="168">
        <f t="shared" ref="J61:J70" si="23">P$1</f>
        <v>1</v>
      </c>
      <c r="K61" s="169">
        <f t="shared" si="21"/>
        <v>499.95000000000005</v>
      </c>
      <c r="L61" s="170">
        <f>IFERROR(VLOOKUP(C61,元件库!$B:$O,10,FALSE),"1.00")</f>
        <v>0.55000000000000004</v>
      </c>
      <c r="M61" s="171">
        <f>IFERROR(VLOOKUP(C61,元件库!$B:$O,11,FALSE),"")</f>
        <v>909</v>
      </c>
      <c r="N61" s="172" t="str">
        <f t="shared" ca="1" si="22"/>
        <v/>
      </c>
      <c r="P61" s="161"/>
    </row>
    <row r="62" spans="1:19" s="173" customFormat="1" ht="16.5" customHeight="1" x14ac:dyDescent="0.2">
      <c r="A62" s="38">
        <f>COUNTIF($J$1:J62,"!")</f>
        <v>4</v>
      </c>
      <c r="B62" s="163" t="str">
        <f>IFERROR(VLOOKUP(C62,元件库!$B:$O,3,FALSE),"")</f>
        <v>框架断路器</v>
      </c>
      <c r="C62" s="164" t="s">
        <v>3380</v>
      </c>
      <c r="D62" s="165" t="str">
        <f>IFERROR(VLOOKUP(C62,元件库!$B:$O,2,FALSE),"")</f>
        <v>正泰电器</v>
      </c>
      <c r="E62" s="166" t="str">
        <f t="shared" si="18"/>
        <v>只</v>
      </c>
      <c r="F62" s="166">
        <v>1</v>
      </c>
      <c r="G62" s="42">
        <f t="shared" si="19"/>
        <v>7617.5000000000009</v>
      </c>
      <c r="H62" s="42">
        <f t="shared" si="20"/>
        <v>7617.5000000000009</v>
      </c>
      <c r="I62" s="167"/>
      <c r="J62" s="168">
        <f t="shared" si="23"/>
        <v>1</v>
      </c>
      <c r="K62" s="169">
        <f t="shared" si="21"/>
        <v>7617.5000000000009</v>
      </c>
      <c r="L62" s="170">
        <f>IFERROR(VLOOKUP(C62,元件库!$B:$O,10,FALSE),"1.00")</f>
        <v>0.55000000000000004</v>
      </c>
      <c r="M62" s="171">
        <f>IFERROR(VLOOKUP(C62,元件库!$B:$O,11,FALSE),"")</f>
        <v>13850</v>
      </c>
      <c r="N62" s="172" t="str">
        <f t="shared" ca="1" si="22"/>
        <v/>
      </c>
      <c r="P62" s="161"/>
    </row>
    <row r="63" spans="1:19" s="173" customFormat="1" ht="16.5" customHeight="1" x14ac:dyDescent="0.2">
      <c r="A63" s="38">
        <f>COUNTIF($J$1:J63,"!")</f>
        <v>4</v>
      </c>
      <c r="B63" s="163" t="str">
        <f>IFERROR(VLOOKUP(C63,元件库!$B:$O,3,FALSE),"")</f>
        <v/>
      </c>
      <c r="C63" s="164" t="s">
        <v>3381</v>
      </c>
      <c r="D63" s="165" t="str">
        <f>IFERROR(VLOOKUP(C63,元件库!$B:$O,2,FALSE),"")</f>
        <v/>
      </c>
      <c r="E63" s="166" t="str">
        <f t="shared" si="18"/>
        <v>只</v>
      </c>
      <c r="F63" s="166">
        <v>3</v>
      </c>
      <c r="G63" s="42" t="str">
        <f t="shared" si="19"/>
        <v/>
      </c>
      <c r="H63" s="42" t="str">
        <f t="shared" si="20"/>
        <v/>
      </c>
      <c r="I63" s="167"/>
      <c r="J63" s="168">
        <f t="shared" si="23"/>
        <v>1</v>
      </c>
      <c r="K63" s="169" t="str">
        <f t="shared" si="21"/>
        <v/>
      </c>
      <c r="L63" s="170" t="str">
        <f>IFERROR(VLOOKUP(C63,元件库!$B:$O,10,FALSE),"1.00")</f>
        <v>1.00</v>
      </c>
      <c r="M63" s="171" t="str">
        <f>IFERROR(VLOOKUP(C63,元件库!$B:$O,11,FALSE),"")</f>
        <v/>
      </c>
      <c r="N63" s="172" t="str">
        <f t="shared" ca="1" si="22"/>
        <v/>
      </c>
      <c r="P63" s="161"/>
    </row>
    <row r="64" spans="1:19" s="173" customFormat="1" ht="16.5" customHeight="1" x14ac:dyDescent="0.2">
      <c r="A64" s="38">
        <f>COUNTIF($J$1:J64,"!")</f>
        <v>4</v>
      </c>
      <c r="B64" s="163" t="str">
        <f>IFERROR(VLOOKUP(C64,元件库!$B:$O,3,FALSE),"")</f>
        <v>多功能数显表</v>
      </c>
      <c r="C64" s="164" t="s">
        <v>3358</v>
      </c>
      <c r="D64" s="165" t="str">
        <f>IFERROR(VLOOKUP(C64,元件库!$B:$O,2,FALSE),"")</f>
        <v>实德电气</v>
      </c>
      <c r="E64" s="166" t="str">
        <f t="shared" si="18"/>
        <v>只</v>
      </c>
      <c r="F64" s="166">
        <v>1</v>
      </c>
      <c r="G64" s="42">
        <f t="shared" si="19"/>
        <v>200</v>
      </c>
      <c r="H64" s="42">
        <f t="shared" si="20"/>
        <v>200</v>
      </c>
      <c r="I64" s="167"/>
      <c r="J64" s="168">
        <f t="shared" si="23"/>
        <v>1</v>
      </c>
      <c r="K64" s="169">
        <f t="shared" si="21"/>
        <v>200</v>
      </c>
      <c r="L64" s="170">
        <f>IFERROR(VLOOKUP(C64,元件库!$B:$O,10,FALSE),"1.00")</f>
        <v>1</v>
      </c>
      <c r="M64" s="171">
        <f>IFERROR(VLOOKUP(C64,元件库!$B:$O,11,FALSE),"")</f>
        <v>200</v>
      </c>
      <c r="N64" s="172" t="str">
        <f t="shared" ca="1" si="22"/>
        <v/>
      </c>
      <c r="P64" s="161"/>
    </row>
    <row r="65" spans="1:19" s="173" customFormat="1" ht="16.5" customHeight="1" x14ac:dyDescent="0.2">
      <c r="A65" s="38">
        <f>COUNTIF($J$1:J65,"!")</f>
        <v>4</v>
      </c>
      <c r="B65" s="163" t="str">
        <f>IFERROR(VLOOKUP(C65,元件库!$B:$O,3,FALSE),"")</f>
        <v>指示灯</v>
      </c>
      <c r="C65" s="164" t="s">
        <v>3382</v>
      </c>
      <c r="D65" s="165" t="str">
        <f>IFERROR(VLOOKUP(C65,元件库!$B:$O,2,FALSE),"")</f>
        <v>精益联合集团</v>
      </c>
      <c r="E65" s="166" t="str">
        <f t="shared" si="18"/>
        <v>只</v>
      </c>
      <c r="F65" s="166">
        <v>3</v>
      </c>
      <c r="G65" s="42">
        <f t="shared" si="19"/>
        <v>2.3100000000000005</v>
      </c>
      <c r="H65" s="42">
        <f t="shared" si="20"/>
        <v>6.9300000000000015</v>
      </c>
      <c r="I65" s="167"/>
      <c r="J65" s="168">
        <f t="shared" si="23"/>
        <v>1</v>
      </c>
      <c r="K65" s="169">
        <f t="shared" si="21"/>
        <v>2.3100000000000005</v>
      </c>
      <c r="L65" s="170">
        <f>IFERROR(VLOOKUP(C65,元件库!$B:$O,10,FALSE),"1.00")</f>
        <v>0.55000000000000004</v>
      </c>
      <c r="M65" s="171">
        <f>IFERROR(VLOOKUP(C65,元件库!$B:$O,11,FALSE),"")</f>
        <v>4.2</v>
      </c>
      <c r="N65" s="172" t="str">
        <f t="shared" ca="1" si="22"/>
        <v/>
      </c>
      <c r="P65" s="161"/>
    </row>
    <row r="66" spans="1:19" s="173" customFormat="1" ht="16.5" customHeight="1" x14ac:dyDescent="0.2">
      <c r="A66" s="38">
        <f>COUNTIF($J$1:J66,"!")</f>
        <v>4</v>
      </c>
      <c r="B66" s="163" t="str">
        <f>IFERROR(VLOOKUP(C66,元件库!$B:$O,3,FALSE),"")</f>
        <v/>
      </c>
      <c r="C66" s="164" t="s">
        <v>3383</v>
      </c>
      <c r="D66" s="165" t="str">
        <f>IFERROR(VLOOKUP(C66,元件库!$B:$O,2,FALSE),"")</f>
        <v/>
      </c>
      <c r="E66" s="166" t="str">
        <f t="shared" si="18"/>
        <v>只</v>
      </c>
      <c r="F66" s="166">
        <v>2</v>
      </c>
      <c r="G66" s="42" t="str">
        <f t="shared" si="19"/>
        <v/>
      </c>
      <c r="H66" s="42" t="str">
        <f t="shared" si="20"/>
        <v/>
      </c>
      <c r="I66" s="167"/>
      <c r="J66" s="168">
        <f t="shared" si="23"/>
        <v>1</v>
      </c>
      <c r="K66" s="169" t="str">
        <f t="shared" si="21"/>
        <v/>
      </c>
      <c r="L66" s="170" t="str">
        <f>IFERROR(VLOOKUP(C66,元件库!$B:$O,10,FALSE),"1.00")</f>
        <v>1.00</v>
      </c>
      <c r="M66" s="171" t="str">
        <f>IFERROR(VLOOKUP(C66,元件库!$B:$O,11,FALSE),"")</f>
        <v/>
      </c>
      <c r="N66" s="172" t="str">
        <f t="shared" ca="1" si="22"/>
        <v/>
      </c>
      <c r="P66" s="161"/>
    </row>
    <row r="67" spans="1:19" s="173" customFormat="1" ht="16.5" customHeight="1" x14ac:dyDescent="0.2">
      <c r="A67" s="38">
        <f>COUNTIF($J$1:J67,"!")</f>
        <v>4</v>
      </c>
      <c r="B67" s="163" t="str">
        <f>IFERROR(VLOOKUP(C67,元件库!$B:$O,3,FALSE),"")</f>
        <v>铜排</v>
      </c>
      <c r="C67" s="164" t="s">
        <v>3384</v>
      </c>
      <c r="D67" s="165" t="str">
        <f>IFERROR(VLOOKUP(C67,元件库!$B:$O,2,FALSE),"")</f>
        <v>欣利铜材</v>
      </c>
      <c r="E67" s="166" t="str">
        <f t="shared" si="18"/>
        <v>米</v>
      </c>
      <c r="F67" s="166">
        <v>13</v>
      </c>
      <c r="G67" s="42">
        <f t="shared" si="19"/>
        <v>405.84</v>
      </c>
      <c r="H67" s="42">
        <f t="shared" si="20"/>
        <v>5275.92</v>
      </c>
      <c r="I67" s="167"/>
      <c r="J67" s="168">
        <f t="shared" si="23"/>
        <v>1</v>
      </c>
      <c r="K67" s="169">
        <f t="shared" si="21"/>
        <v>405.84</v>
      </c>
      <c r="L67" s="170">
        <f>IFERROR(VLOOKUP(C67,元件库!$B:$O,10,FALSE),"1.00")</f>
        <v>1</v>
      </c>
      <c r="M67" s="171">
        <f>IFERROR(VLOOKUP(C67,元件库!$B:$O,11,FALSE),"")</f>
        <v>405.84</v>
      </c>
      <c r="N67" s="172" t="str">
        <f t="shared" ca="1" si="22"/>
        <v/>
      </c>
      <c r="P67" s="161"/>
    </row>
    <row r="68" spans="1:19" s="175" customFormat="1" ht="16.5" customHeight="1" x14ac:dyDescent="0.2">
      <c r="A68" s="38">
        <f>COUNTIF($J$1:J68,"!")</f>
        <v>4</v>
      </c>
      <c r="B68" s="163" t="s">
        <v>3385</v>
      </c>
      <c r="C68" s="164" t="s">
        <v>3384</v>
      </c>
      <c r="D68" s="165" t="s">
        <v>3386</v>
      </c>
      <c r="E68" s="166" t="str">
        <f t="shared" si="18"/>
        <v>米</v>
      </c>
      <c r="F68" s="166">
        <f>1*(MID(O68,FIND("-",O68)+1,FIND("*",O68)-FIND("-",O68)-1)/1000*IF(B68="水平排",3,1))</f>
        <v>2.4000000000000004</v>
      </c>
      <c r="G68" s="42">
        <f t="shared" si="19"/>
        <v>405.84</v>
      </c>
      <c r="H68" s="42">
        <f t="shared" si="20"/>
        <v>974.01600000000008</v>
      </c>
      <c r="I68" s="167"/>
      <c r="J68" s="168">
        <f t="shared" si="23"/>
        <v>1</v>
      </c>
      <c r="K68" s="169">
        <f t="shared" si="21"/>
        <v>405.84</v>
      </c>
      <c r="L68" s="170">
        <f>IFERROR(VLOOKUP(C68,元件库!$B:$O,10,FALSE),"1.00")</f>
        <v>1</v>
      </c>
      <c r="M68" s="171">
        <f>IFERROR(VLOOKUP(C68,元件库!$B:$O,11,FALSE),"")</f>
        <v>405.84</v>
      </c>
      <c r="N68" s="172" t="str">
        <f t="shared" ca="1" si="22"/>
        <v/>
      </c>
      <c r="O68" s="174" t="str">
        <f>O72</f>
        <v>GCS-800*800*2200</v>
      </c>
    </row>
    <row r="69" spans="1:19" s="175" customFormat="1" ht="16.5" customHeight="1" x14ac:dyDescent="0.2">
      <c r="A69" s="38">
        <f>COUNTIF($J$1:J69,"!")</f>
        <v>4</v>
      </c>
      <c r="B69" s="163" t="s">
        <v>3387</v>
      </c>
      <c r="C69" s="164" t="s">
        <v>223</v>
      </c>
      <c r="D69" s="165" t="s">
        <v>3388</v>
      </c>
      <c r="E69" s="166" t="str">
        <f t="shared" si="18"/>
        <v>米</v>
      </c>
      <c r="F69" s="166">
        <f>1*(MID(O69,FIND("-",O69)+1,FIND("*",O69)-FIND("-",O69)-1)/1000*IF(B69="水平排",3,1))</f>
        <v>0.8</v>
      </c>
      <c r="G69" s="42">
        <f t="shared" si="19"/>
        <v>405.84</v>
      </c>
      <c r="H69" s="42">
        <f t="shared" si="20"/>
        <v>324.67200000000003</v>
      </c>
      <c r="I69" s="167"/>
      <c r="J69" s="168">
        <f t="shared" si="23"/>
        <v>1</v>
      </c>
      <c r="K69" s="169">
        <f t="shared" si="21"/>
        <v>405.84</v>
      </c>
      <c r="L69" s="170">
        <f>IFERROR(VLOOKUP(C69,元件库!$B:$O,10,FALSE),"1.00")</f>
        <v>1</v>
      </c>
      <c r="M69" s="171">
        <f>IFERROR(VLOOKUP(C69,元件库!$B:$O,11,FALSE),"")</f>
        <v>405.84</v>
      </c>
      <c r="N69" s="172" t="str">
        <f t="shared" ca="1" si="22"/>
        <v/>
      </c>
      <c r="O69" s="176" t="str">
        <f>O72</f>
        <v>GCS-800*800*2200</v>
      </c>
    </row>
    <row r="70" spans="1:19" s="175" customFormat="1" ht="16.5" customHeight="1" x14ac:dyDescent="0.2">
      <c r="A70" s="38">
        <f>COUNTIF($J$1:J70,"!")</f>
        <v>4</v>
      </c>
      <c r="B70" s="163" t="s">
        <v>3389</v>
      </c>
      <c r="C70" s="164" t="s">
        <v>3390</v>
      </c>
      <c r="D70" s="165" t="s">
        <v>3388</v>
      </c>
      <c r="E70" s="166" t="str">
        <f t="shared" si="18"/>
        <v>米</v>
      </c>
      <c r="F70" s="166">
        <f>1*(MID(O70,FIND("-",O70)+1,FIND("*",O70)-FIND("-",O70)-1)/1000*IF(B70="水平排",3,1))</f>
        <v>0.8</v>
      </c>
      <c r="G70" s="42">
        <f t="shared" si="19"/>
        <v>243.50399999999999</v>
      </c>
      <c r="H70" s="42">
        <f t="shared" si="20"/>
        <v>194.8032</v>
      </c>
      <c r="I70" s="167"/>
      <c r="J70" s="168">
        <f t="shared" si="23"/>
        <v>1</v>
      </c>
      <c r="K70" s="169">
        <f t="shared" si="21"/>
        <v>243.50399999999999</v>
      </c>
      <c r="L70" s="170">
        <f>IFERROR(VLOOKUP(C70,元件库!$B:$O,10,FALSE),"1.00")</f>
        <v>1</v>
      </c>
      <c r="M70" s="171">
        <f>IFERROR(VLOOKUP(C70,元件库!$B:$O,11,FALSE),"")</f>
        <v>243.50399999999999</v>
      </c>
      <c r="N70" s="172" t="str">
        <f t="shared" ca="1" si="22"/>
        <v/>
      </c>
      <c r="O70" s="176" t="str">
        <f>O72</f>
        <v>GCS-800*800*2200</v>
      </c>
    </row>
    <row r="71" spans="1:19" ht="16.5" customHeight="1" x14ac:dyDescent="0.2">
      <c r="A71" s="38">
        <f>COUNTIF($J$1:J71,"!")</f>
        <v>4</v>
      </c>
      <c r="B71" s="177" t="s">
        <v>3391</v>
      </c>
      <c r="C71" s="164"/>
      <c r="D71" s="166"/>
      <c r="E71" s="166"/>
      <c r="F71" s="166"/>
      <c r="G71" s="42"/>
      <c r="H71" s="42"/>
      <c r="I71" s="178">
        <f>SUM(H60:H71)</f>
        <v>16993.7912</v>
      </c>
      <c r="J71" s="168"/>
      <c r="K71" s="169"/>
      <c r="L71" s="170"/>
      <c r="M71" s="171"/>
      <c r="N71" s="161"/>
      <c r="O71" s="174"/>
      <c r="R71" s="162"/>
      <c r="S71" s="162"/>
    </row>
    <row r="72" spans="1:19" ht="16.5" customHeight="1" x14ac:dyDescent="0.2">
      <c r="A72" s="38">
        <f>COUNTIF($J$1:J72,"!")</f>
        <v>4</v>
      </c>
      <c r="B72" s="179" t="s">
        <v>3392</v>
      </c>
      <c r="C72" s="164"/>
      <c r="D72" s="166"/>
      <c r="E72" s="166"/>
      <c r="F72" s="166"/>
      <c r="G72" s="42"/>
      <c r="H72" s="42">
        <f>IFERROR(J72*K72,"")</f>
        <v>1000</v>
      </c>
      <c r="I72" s="167"/>
      <c r="J72" s="168">
        <f>P$1</f>
        <v>1</v>
      </c>
      <c r="K72" s="169">
        <f>IFERROR(M72*L72,"")</f>
        <v>1000</v>
      </c>
      <c r="L72" s="170">
        <f>F60</f>
        <v>1</v>
      </c>
      <c r="M72" s="171">
        <f>IF(B72="成套费",IF(ISNUMBER(FIND("GGD",O72)),800,IF(OR(ISNUMBER(FIND("GCS",O72)),ISNUMBER(FIND("GCK",O72)),ISNUMBER(FIND("MNS",O72))),1000,"")),IF(B72="辅件费",IF(VLOOKUP(A73,A$1:B72,2,FALSE)="低压电容柜",500,300),""))</f>
        <v>1000</v>
      </c>
      <c r="N72" s="161"/>
      <c r="O72" s="180" t="str">
        <f>C60</f>
        <v>GCS-800*800*2200</v>
      </c>
      <c r="P72" s="161"/>
      <c r="R72" s="162"/>
      <c r="S72" s="162"/>
    </row>
    <row r="73" spans="1:19" s="161" customFormat="1" ht="16.5" customHeight="1" x14ac:dyDescent="0.2">
      <c r="A73" s="38">
        <f>COUNTIF($J$1:J73,"!")</f>
        <v>4</v>
      </c>
      <c r="B73" s="179" t="s">
        <v>3393</v>
      </c>
      <c r="C73" s="164"/>
      <c r="D73" s="166"/>
      <c r="E73" s="166"/>
      <c r="F73" s="166"/>
      <c r="G73" s="42"/>
      <c r="H73" s="42">
        <f>IFERROR(J73*K73,"")</f>
        <v>300</v>
      </c>
      <c r="I73" s="167"/>
      <c r="J73" s="168">
        <f>P$1</f>
        <v>1</v>
      </c>
      <c r="K73" s="169">
        <f>IFERROR(M73*L73,"")</f>
        <v>300</v>
      </c>
      <c r="L73" s="170">
        <f>L72</f>
        <v>1</v>
      </c>
      <c r="M73" s="171">
        <f>IF(B73="成套费",IF(ISNUMBER(FIND("GGD",O73)),800,IF(OR(ISNUMBER(FIND("GCS",O73)),ISNUMBER(FIND("GCK",O73)),ISNUMBER(FIND("MNS",O73))),1000,"")),IF(B73="辅件费",IF(VLOOKUP(A74,A$1:B73,2,FALSE)="低压电容柜",500,300),""))</f>
        <v>300</v>
      </c>
      <c r="N73" s="181"/>
      <c r="O73" s="182" t="str">
        <f>O72</f>
        <v>GCS-800*800*2200</v>
      </c>
      <c r="R73" s="162"/>
      <c r="S73" s="162"/>
    </row>
    <row r="74" spans="1:19" s="161" customFormat="1" ht="16.5" customHeight="1" x14ac:dyDescent="0.2">
      <c r="A74" s="38">
        <f>COUNTIF($J$1:J74,"!")</f>
        <v>4</v>
      </c>
      <c r="B74" s="179" t="s">
        <v>3394</v>
      </c>
      <c r="C74" s="164"/>
      <c r="D74" s="166"/>
      <c r="E74" s="166"/>
      <c r="F74" s="166"/>
      <c r="G74" s="42"/>
      <c r="H74" s="42">
        <f>K74*L74</f>
        <v>2195.2549439999998</v>
      </c>
      <c r="I74" s="167"/>
      <c r="J74" s="168"/>
      <c r="K74" s="169">
        <f>SUM(H71:H73)+I71</f>
        <v>18293.7912</v>
      </c>
      <c r="L74" s="279">
        <f>R$1</f>
        <v>0.12</v>
      </c>
      <c r="M74" s="171"/>
      <c r="N74" s="181"/>
      <c r="O74" s="162"/>
      <c r="R74" s="162"/>
      <c r="S74" s="162"/>
    </row>
    <row r="75" spans="1:19" ht="16.5" customHeight="1" x14ac:dyDescent="0.2">
      <c r="A75" s="38">
        <f>COUNTIF($J$1:J75,"!")</f>
        <v>4</v>
      </c>
      <c r="B75" s="179" t="s">
        <v>3395</v>
      </c>
      <c r="C75" s="164"/>
      <c r="D75" s="166"/>
      <c r="E75" s="166"/>
      <c r="F75" s="166"/>
      <c r="G75" s="184"/>
      <c r="H75" s="42">
        <f>K75*L75</f>
        <v>614.67138432000002</v>
      </c>
      <c r="I75" s="167"/>
      <c r="J75" s="168"/>
      <c r="K75" s="169">
        <f>H74+K74</f>
        <v>20489.046144</v>
      </c>
      <c r="L75" s="279">
        <f>T$1</f>
        <v>0.03</v>
      </c>
      <c r="M75" s="171"/>
      <c r="N75" s="161"/>
      <c r="O75" s="162"/>
      <c r="P75" s="161"/>
      <c r="R75" s="162"/>
      <c r="S75" s="162"/>
    </row>
  </sheetData>
  <sheetProtection selectLockedCells="1"/>
  <autoFilter ref="A1:O17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OFFSET(元件库!$B$1,MATCH(C1&amp;"*",元件库!$B:$B,0)-1,,IF(COUNTIF(元件库!$B:$B,C1&amp;"*")&gt;1,40,1))</xm:f>
          </x14:formula1>
          <xm:sqref>C1</xm:sqref>
        </x14:dataValidation>
        <x14:dataValidation type="list" allowBlank="1" showInputMessage="1">
          <x14:formula1>
            <xm:f>OFFSET(元件库!$B$1,MATCH(C3&amp;"*",元件库!$B:$B,0)-1,,IF(COUNTIF(元件库!$B:$B,C3&amp;"*")&gt;1,40,1))</xm:f>
          </x14:formula1>
          <xm:sqref>C3:C75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2"/>
  <dimension ref="A1:T25"/>
  <sheetViews>
    <sheetView showZeros="0" workbookViewId="0">
      <pane ySplit="1" topLeftCell="A2" activePane="bottomLeft" state="frozen"/>
      <selection pane="bottomLeft" activeCell="S3" sqref="S3"/>
    </sheetView>
  </sheetViews>
  <sheetFormatPr defaultColWidth="7" defaultRowHeight="12" x14ac:dyDescent="0.2"/>
  <cols>
    <col min="1" max="1" width="3.625" style="189" customWidth="1"/>
    <col min="2" max="2" width="14.125" style="190" customWidth="1"/>
    <col min="3" max="3" width="21.625" style="191" customWidth="1"/>
    <col min="4" max="4" width="11.625" style="192" customWidth="1"/>
    <col min="5" max="6" width="4.125" style="192" customWidth="1"/>
    <col min="7" max="8" width="9.625" style="193" customWidth="1"/>
    <col min="9" max="9" width="14.625" style="194" customWidth="1"/>
    <col min="10" max="10" width="4.625" style="189" customWidth="1"/>
    <col min="11" max="11" width="8.125" style="193" customWidth="1"/>
    <col min="12" max="12" width="5.125" style="193" customWidth="1"/>
    <col min="13" max="13" width="8.125" style="193" customWidth="1"/>
    <col min="14" max="14" width="3.625" style="267" customWidth="1"/>
    <col min="15" max="15" width="4.625" style="187" customWidth="1"/>
    <col min="16" max="16" width="4.625" style="295" customWidth="1"/>
    <col min="17" max="17" width="4.625" style="187" customWidth="1"/>
    <col min="18" max="20" width="4.625" style="188" customWidth="1"/>
    <col min="21" max="23" width="4.625" style="267" customWidth="1"/>
    <col min="24" max="16384" width="7" style="267"/>
  </cols>
  <sheetData>
    <row r="1" spans="1:20" s="157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3396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1.1200000000000001</v>
      </c>
      <c r="Q1" s="335" t="s">
        <v>3397</v>
      </c>
      <c r="R1" s="336">
        <v>0.06</v>
      </c>
      <c r="S1" s="336" t="s">
        <v>80</v>
      </c>
      <c r="T1" s="336">
        <v>0</v>
      </c>
    </row>
    <row r="2" spans="1:20" ht="16.5" customHeight="1" x14ac:dyDescent="0.15">
      <c r="A2" s="146">
        <f>COUNTIF($J$1:J2,"!")</f>
        <v>1</v>
      </c>
      <c r="B2" s="147" t="str">
        <f>IF(OR(ISNUMBER(FIND("PZ30",C3)),ISNUMBER(FIND("JXF",C3))),"配电箱",IF(ISNUMBER(FIND("XD",C3)),"计量箱",IF(ISNUMBER(FIND("XS",C3)),"计量箱",IF(ISNUMBER(FIND("JP",C3)),"综合配电箱","动力柜"))))</f>
        <v>配电箱</v>
      </c>
      <c r="C2" s="283" t="s">
        <v>3398</v>
      </c>
      <c r="D2" s="284"/>
      <c r="E2" s="148" t="s">
        <v>23</v>
      </c>
      <c r="F2" s="284">
        <v>1</v>
      </c>
      <c r="G2" s="149">
        <f>ROUND(SUM(H3:H11),0)</f>
        <v>1300</v>
      </c>
      <c r="H2" s="285" t="str">
        <f>IF(ISNUMBER(FIND(" ",C3)),MID(C3,1,FIND(" ",C3)-1),IF(ISNUMBER(FIND("电容柜",B2)),"GGJ",MID(C3,1,FIND("-",C3)-1)))</f>
        <v>JXF</v>
      </c>
      <c r="I2" s="150" t="str">
        <f>IF((LEN(C3)-LEN(H2))&lt;=2,"",MID(C3,IF(LEN(C3)-LEN(H2)&gt;=2,LEN(H2)+2,1),30))</f>
        <v>600*800*200</v>
      </c>
      <c r="J2" s="151" t="s">
        <v>24</v>
      </c>
      <c r="K2" s="152"/>
      <c r="L2" s="153"/>
      <c r="M2" s="156"/>
      <c r="P2" s="286"/>
      <c r="Q2" s="287"/>
      <c r="R2" s="287"/>
      <c r="S2" s="188">
        <v>20</v>
      </c>
    </row>
    <row r="3" spans="1:20" ht="16.5" customHeight="1" x14ac:dyDescent="0.2">
      <c r="A3" s="38">
        <f>COUNTIF($J$1:J3,"!")</f>
        <v>1</v>
      </c>
      <c r="B3" s="185" t="s">
        <v>3399</v>
      </c>
      <c r="C3" s="164" t="s">
        <v>3400</v>
      </c>
      <c r="D3" s="166" t="s">
        <v>3242</v>
      </c>
      <c r="E3" s="166" t="str">
        <f t="shared" ref="E3" si="0">IF(D3="欣利铜材","米",IF(B3="熔断器","套","只"))</f>
        <v>只</v>
      </c>
      <c r="F3" s="166">
        <v>1</v>
      </c>
      <c r="G3" s="42">
        <f t="shared" ref="G3:G6" si="1">IFERROR(J3*K3,"")</f>
        <v>385.56000000000006</v>
      </c>
      <c r="H3" s="42">
        <f t="shared" ref="H3:H6" si="2">IFERROR(G3*F3,"")</f>
        <v>385.56000000000006</v>
      </c>
      <c r="I3" s="167"/>
      <c r="J3" s="168">
        <f t="shared" ref="J3:J6" si="3">P$1</f>
        <v>1.1200000000000001</v>
      </c>
      <c r="K3" s="169">
        <f t="shared" ref="K3:K6" si="4">IFERROR(M3*L3,"")</f>
        <v>344.25</v>
      </c>
      <c r="L3" s="170">
        <v>0.85</v>
      </c>
      <c r="M3" s="171">
        <f>IF(OR(ISNUMBER(FIND("#",C3)),ISNUMBER(FIND("GGD",C3)),ISNUMBER(FIND("GCK",C3)),ISNUMBER(FIND("GCS",C3)),ISNUMBER(FIND("MNS",C3))),VLOOKUP(C3,元件库!$B:$N,11,FALSE),ROUND(Q3*R3+S2+R2,0))</f>
        <v>405</v>
      </c>
      <c r="N3" s="188" t="s">
        <v>1932</v>
      </c>
      <c r="O3" s="288" t="s">
        <v>3280</v>
      </c>
      <c r="P3" s="289" t="s">
        <v>3279</v>
      </c>
      <c r="Q3" s="267">
        <f>IFERROR(VLOOKUP(P3&amp;"-"&amp;O3,元件库!$B:$O,11,FALSE),"")</f>
        <v>175</v>
      </c>
      <c r="R3" s="287">
        <f>IFERROR(((MID(C3,FIND(" ",C3)+1,FIND("*",REPLACE(C3,1,FIND(" ",C3),))-1)*MID(C3,FIND("*",C3)+1,FIND("*",REPLACE(C3,1,FIND("*",C3),))-1))+(MID(C3,FIND(" ",C3)+1,FIND("*",REPLACE(C3,1,FIND(" ",C3),))-1)*MID(C3,FIND("*",REPLACE(C3,FIND("*",C3),1,"+"))+1,10))+(MID(C3,FIND("*",C3)+1,FIND("*",REPLACE(C3,1,FIND("*",C3),))-1)*MID(C3,FIND("*",REPLACE(C3,FIND("*",C3),1,"+"))+1,10)))/500000*1.1+MID(C3,FIND(" ",C3)+1,FIND("*",REPLACE(C3,1,FIND(" ",C3),))-1)*MID(C3,FIND("*",C3)+1,FIND("*",REPLACE(C3,1,FIND("*",C3),))-1)*1.1/IF(N3=7,1000000,IF(N3=6.5,2000000,IF(AND(N3="公式",RIGHT(C3,3)*1&gt;300),2000000,IF(AND(N3="公式",RIGHT(C3,3)*1&lt;=300),1000000,"")))),"")</f>
        <v>2.2000000000000002</v>
      </c>
      <c r="S3" s="188">
        <f>IF(ISNUMBER(N3),"",IF(RIGHT(C3,3)*1&gt;300,6.5,IF(RIGHT(C3,3)*1&lt;=300,7)))</f>
        <v>7</v>
      </c>
    </row>
    <row r="4" spans="1:20" s="188" customFormat="1" ht="16.5" customHeight="1" x14ac:dyDescent="0.2">
      <c r="A4" s="38">
        <f>COUNTIF($J$1:J4,"!")</f>
        <v>1</v>
      </c>
      <c r="B4" s="185" t="s">
        <v>3118</v>
      </c>
      <c r="C4" s="164" t="s">
        <v>3281</v>
      </c>
      <c r="D4" s="166" t="s">
        <v>1918</v>
      </c>
      <c r="E4" s="166" t="s">
        <v>29</v>
      </c>
      <c r="F4" s="166">
        <v>1</v>
      </c>
      <c r="G4" s="42">
        <f t="shared" si="1"/>
        <v>114.45280000000002</v>
      </c>
      <c r="H4" s="42">
        <f t="shared" si="2"/>
        <v>114.45280000000002</v>
      </c>
      <c r="I4" s="167"/>
      <c r="J4" s="168">
        <f t="shared" si="3"/>
        <v>1.1200000000000001</v>
      </c>
      <c r="K4" s="169">
        <f t="shared" si="4"/>
        <v>102.19000000000001</v>
      </c>
      <c r="L4" s="170">
        <v>0.55000000000000004</v>
      </c>
      <c r="M4" s="171">
        <v>185.8</v>
      </c>
      <c r="N4" s="172" t="str">
        <f ca="1">IF(AND(ISNUMBER(FIND("IF",_xlfn.FORMULATEXT(L4))),ISNUMBER(FIND("IF",_xlfn.FORMULATEXT(M4)))),"","值")</f>
        <v>值</v>
      </c>
      <c r="O4" s="186" t="str">
        <f>IFERROR(VLOOKUP(C4,元件库!$B:$N,13,FALSE)*F4,"")</f>
        <v/>
      </c>
      <c r="P4" s="161">
        <f>F4*Q4</f>
        <v>3</v>
      </c>
      <c r="Q4" s="188">
        <v>3</v>
      </c>
    </row>
    <row r="5" spans="1:20" s="188" customFormat="1" ht="16.5" customHeight="1" x14ac:dyDescent="0.2">
      <c r="A5" s="38">
        <f>COUNTIF($J$1:J5,"!")</f>
        <v>1</v>
      </c>
      <c r="B5" s="185" t="s">
        <v>3118</v>
      </c>
      <c r="C5" s="164" t="s">
        <v>3282</v>
      </c>
      <c r="D5" s="165" t="s">
        <v>1918</v>
      </c>
      <c r="E5" s="166" t="s">
        <v>29</v>
      </c>
      <c r="F5" s="166">
        <v>6</v>
      </c>
      <c r="G5" s="42">
        <f t="shared" si="1"/>
        <v>33.818400000000004</v>
      </c>
      <c r="H5" s="42">
        <f t="shared" si="2"/>
        <v>202.91040000000004</v>
      </c>
      <c r="I5" s="167"/>
      <c r="J5" s="168">
        <f t="shared" si="3"/>
        <v>1.1200000000000001</v>
      </c>
      <c r="K5" s="169">
        <f t="shared" si="4"/>
        <v>30.195</v>
      </c>
      <c r="L5" s="170">
        <v>0.55000000000000004</v>
      </c>
      <c r="M5" s="171">
        <v>54.9</v>
      </c>
      <c r="N5" s="172" t="str">
        <f ca="1">IF(AND(ISNUMBER(FIND("IF",_xlfn.FORMULATEXT(L5))),ISNUMBER(FIND("IF",_xlfn.FORMULATEXT(M5)))),"","值")</f>
        <v>值</v>
      </c>
      <c r="O5" s="186" t="str">
        <f>IFERROR(VLOOKUP(C5,元件库!$B:$N,13,FALSE)*F5,"")</f>
        <v/>
      </c>
      <c r="P5" s="161">
        <f>F5*Q5</f>
        <v>6</v>
      </c>
      <c r="Q5" s="188">
        <v>1</v>
      </c>
    </row>
    <row r="6" spans="1:20" s="173" customFormat="1" ht="16.5" customHeight="1" x14ac:dyDescent="0.2">
      <c r="A6" s="38">
        <f>COUNTIF($J$1:J6,"!")</f>
        <v>1</v>
      </c>
      <c r="B6" s="163" t="s">
        <v>3283</v>
      </c>
      <c r="C6" s="164" t="s">
        <v>3284</v>
      </c>
      <c r="D6" s="165" t="s">
        <v>1918</v>
      </c>
      <c r="E6" s="166" t="s">
        <v>29</v>
      </c>
      <c r="F6" s="166">
        <v>1</v>
      </c>
      <c r="G6" s="42">
        <f t="shared" si="1"/>
        <v>93.262400000000014</v>
      </c>
      <c r="H6" s="42">
        <f t="shared" si="2"/>
        <v>93.262400000000014</v>
      </c>
      <c r="I6" s="167"/>
      <c r="J6" s="168">
        <f t="shared" si="3"/>
        <v>1.1200000000000001</v>
      </c>
      <c r="K6" s="169">
        <f t="shared" si="4"/>
        <v>83.27000000000001</v>
      </c>
      <c r="L6" s="170">
        <v>0.55000000000000004</v>
      </c>
      <c r="M6" s="171">
        <v>151.4</v>
      </c>
      <c r="N6" s="172" t="str">
        <f ca="1">IF(AND(ISNUMBER(FIND("IF",_xlfn.FORMULATEXT(L6))),ISNUMBER(FIND("IF",_xlfn.FORMULATEXT(M6)))),"","值")</f>
        <v>值</v>
      </c>
      <c r="O6" s="186" t="str">
        <f>IFERROR(VLOOKUP(C6,元件库!$B:$N,13,FALSE)*F6,"")</f>
        <v/>
      </c>
      <c r="P6" s="161">
        <f>F6*Q6</f>
        <v>2</v>
      </c>
      <c r="Q6" s="173">
        <v>2</v>
      </c>
    </row>
    <row r="7" spans="1:20" ht="16.5" customHeight="1" x14ac:dyDescent="0.2">
      <c r="A7" s="38">
        <f>COUNTIF($J$1:J7,"!")</f>
        <v>1</v>
      </c>
      <c r="B7" s="177" t="s">
        <v>107</v>
      </c>
      <c r="C7" s="164"/>
      <c r="D7" s="166"/>
      <c r="E7" s="166"/>
      <c r="F7" s="166"/>
      <c r="G7" s="42"/>
      <c r="H7" s="42"/>
      <c r="I7" s="178">
        <f>SUM(H3:H7)</f>
        <v>796.18560000000025</v>
      </c>
      <c r="J7" s="168"/>
      <c r="K7" s="169"/>
      <c r="L7" s="170"/>
      <c r="M7" s="171"/>
      <c r="O7" s="186"/>
      <c r="P7" s="267"/>
      <c r="Q7" s="188"/>
      <c r="R7" s="267"/>
    </row>
    <row r="8" spans="1:20" ht="16.5" customHeight="1" x14ac:dyDescent="0.2">
      <c r="A8" s="38">
        <f>COUNTIF($J$1:J8,"!")</f>
        <v>1</v>
      </c>
      <c r="B8" s="177" t="s">
        <v>47</v>
      </c>
      <c r="C8" s="164"/>
      <c r="D8" s="166"/>
      <c r="E8" s="166"/>
      <c r="F8" s="166"/>
      <c r="G8" s="42"/>
      <c r="H8" s="42">
        <f>IFERROR(J8*K8,"")</f>
        <v>268.8</v>
      </c>
      <c r="I8" s="167"/>
      <c r="J8" s="168">
        <f>P$1</f>
        <v>1.1200000000000001</v>
      </c>
      <c r="K8" s="169">
        <f>IFERROR(M8*L8,"")</f>
        <v>240</v>
      </c>
      <c r="L8" s="170">
        <v>1</v>
      </c>
      <c r="M8" s="171">
        <f>IF(ISNUMBER(FIND("#",P8)),MID(P8,FIND(" ",P8)+1,FIND("#",P8)-FIND(" ",P8)-1)*IF(B8="成套费","3",IF(B8="辅件费",2,0)),IF(OR(ISNUMBER(FIND("PX",P8)),ISNUMBER(FIND("SX",P8)),ISNUMBER(FIND("RX",P8))),MID(P8,FIND("-",P8)+1,FIND(" ",P8)-FIND("-",P8)-1)*IF(B8="成套费","10",IF(B8="辅件费",3,0))+IF(B8="辅件费",15,0),IF(ROUND(MID(P8,FIND("*",REPLACE(P8,FIND("*",P8),1,"+"))+1,10),0)&gt;=350,MID(P8,FIND(" ",P8)+1,FIND("*",REPLACE(P8,1,FIND(" ",P8),))-1)*MID(P8,FIND("*",P8)+1,FIND("*",REPLACE(P8,1,FIND("*",P8),))-1)*IF(B8="成套费","5",IF(B8="辅件费",2.5,0))/10000,MID(P8,FIND(" ",P8)+1,FIND("*",REPLACE(P8,1,FIND(" ",P8),))-1)*MID(P8,FIND("*",P8)+1,FIND("*",REPLACE(P8,1,FIND("*",P8),))-1)*IF(B8="成套费","5",IF(B8="辅件费",3,0))/10000)))</f>
        <v>240</v>
      </c>
      <c r="O8" s="290">
        <f>SUM(O3:P7)</f>
        <v>11</v>
      </c>
      <c r="P8" s="291" t="str">
        <f>C3</f>
        <v>JXF 600*800*200</v>
      </c>
    </row>
    <row r="9" spans="1:20" s="187" customFormat="1" ht="16.5" customHeight="1" x14ac:dyDescent="0.2">
      <c r="A9" s="38">
        <f>COUNTIF($J$1:J9,"!")</f>
        <v>1</v>
      </c>
      <c r="B9" s="177" t="s">
        <v>49</v>
      </c>
      <c r="C9" s="164"/>
      <c r="D9" s="166"/>
      <c r="E9" s="166"/>
      <c r="F9" s="166"/>
      <c r="G9" s="42"/>
      <c r="H9" s="42">
        <f>IFERROR(J9*K9,"")</f>
        <v>161.28000000000003</v>
      </c>
      <c r="I9" s="167"/>
      <c r="J9" s="168">
        <f>P$1</f>
        <v>1.1200000000000001</v>
      </c>
      <c r="K9" s="169">
        <f>IFERROR(M9*L9,"")</f>
        <v>144</v>
      </c>
      <c r="L9" s="170">
        <v>1</v>
      </c>
      <c r="M9" s="171">
        <f>IF(ISNUMBER(FIND("#",P9)),MID(P9,FIND(" ",P9)+1,FIND("#",P9)-FIND(" ",P9)-1)*IF(B9="成套费","3",IF(B9="辅件费",2,0)),IF(OR(ISNUMBER(FIND("PX",P9)),ISNUMBER(FIND("SX",P9)),ISNUMBER(FIND("RX",P9))),MID(P9,FIND("-",P9)+1,FIND(" ",P9)-FIND("-",P9)-1)*IF(B9="成套费","10",IF(B9="辅件费",3,0))+IF(B9="辅件费",15,0),IF(ROUND(MID(P9,FIND("*",REPLACE(P9,FIND("*",P9),1,"+"))+1,10),0)&gt;=350,MID(P9,FIND(" ",P9)+1,FIND("*",REPLACE(P9,1,FIND(" ",P9),))-1)*MID(P9,FIND("*",P9)+1,FIND("*",REPLACE(P9,1,FIND("*",P9),))-1)*IF(B9="成套费","5",IF(B9="辅件费",2.5,0))/10000,MID(P9,FIND(" ",P9)+1,FIND("*",REPLACE(P9,1,FIND(" ",P9),))-1)*MID(P9,FIND("*",P9)+1,FIND("*",REPLACE(P9,1,FIND("*",P9),))-1)*IF(B9="成套费","5",IF(B9="辅件费",3,0))/10000)))</f>
        <v>144</v>
      </c>
      <c r="O9" s="292">
        <f>O8*1.8</f>
        <v>19.8</v>
      </c>
      <c r="P9" s="293" t="str">
        <f>P8</f>
        <v>JXF 600*800*200</v>
      </c>
      <c r="R9" s="188"/>
      <c r="S9" s="188"/>
      <c r="T9" s="188"/>
    </row>
    <row r="10" spans="1:20" s="187" customFormat="1" ht="16.5" customHeight="1" x14ac:dyDescent="0.2">
      <c r="A10" s="38">
        <f>COUNTIF($J$1:J10,"!")</f>
        <v>1</v>
      </c>
      <c r="B10" s="177" t="s">
        <v>79</v>
      </c>
      <c r="D10" s="166"/>
      <c r="E10" s="166"/>
      <c r="F10" s="166"/>
      <c r="G10" s="42"/>
      <c r="H10" s="42">
        <f>K10*L10</f>
        <v>73.575936000000013</v>
      </c>
      <c r="I10" s="167"/>
      <c r="J10" s="168"/>
      <c r="K10" s="169">
        <f>SUM(H8:H9)+I7</f>
        <v>1226.2656000000002</v>
      </c>
      <c r="L10" s="279">
        <f>R$1</f>
        <v>0.06</v>
      </c>
      <c r="M10" s="171"/>
      <c r="P10" s="293" t="str">
        <f>P8</f>
        <v>JXF 600*800*200</v>
      </c>
      <c r="R10" s="188"/>
      <c r="S10" s="188"/>
      <c r="T10" s="188"/>
    </row>
    <row r="11" spans="1:20" ht="16.5" customHeight="1" x14ac:dyDescent="0.2">
      <c r="A11" s="294">
        <f>COUNTIF($J$1:J11,"!")</f>
        <v>1</v>
      </c>
      <c r="B11" s="177" t="s">
        <v>108</v>
      </c>
      <c r="C11" s="164"/>
      <c r="D11" s="166"/>
      <c r="E11" s="166"/>
      <c r="F11" s="166"/>
      <c r="G11" s="184"/>
      <c r="H11" s="42">
        <f>K11*L11</f>
        <v>0</v>
      </c>
      <c r="I11" s="167"/>
      <c r="J11" s="168"/>
      <c r="K11" s="169">
        <f>H10+K10</f>
        <v>1299.8415360000001</v>
      </c>
      <c r="L11" s="279">
        <f>T$1</f>
        <v>0</v>
      </c>
      <c r="M11" s="171"/>
    </row>
    <row r="12" spans="1:20" ht="16.5" customHeight="1" x14ac:dyDescent="0.15">
      <c r="A12" s="146">
        <f>COUNTIF($J$1:J12,"!")</f>
        <v>2</v>
      </c>
      <c r="B12" s="147" t="str">
        <f>IF(OR(ISNUMBER(FIND("PZ30",C13)),ISNUMBER(FIND("JXF",C13))),"配电箱",IF(ISNUMBER(FIND("XD",C13)),"计量箱",IF(ISNUMBER(FIND("XS",C13)),"计量箱",IF(ISNUMBER(FIND("JP",C13)),"综合配电箱","动力柜"))))</f>
        <v>配电箱</v>
      </c>
      <c r="C12" s="283" t="s">
        <v>3401</v>
      </c>
      <c r="D12" s="284"/>
      <c r="E12" s="148" t="s">
        <v>23</v>
      </c>
      <c r="F12" s="284">
        <v>1</v>
      </c>
      <c r="G12" s="149">
        <f>ROUND(SUM(H13:H25),0)</f>
        <v>1232</v>
      </c>
      <c r="H12" s="285" t="str">
        <f>IF(ISNUMBER(FIND(" ",C13)),MID(C13,1,FIND(" ",C13)-1),IF(ISNUMBER(FIND("电容柜",B12)),"GGJ",MID(C13,1,FIND("-",C13)-1)))</f>
        <v>PZ30</v>
      </c>
      <c r="I12" s="150" t="str">
        <f>IF((LEN(C13)-LEN(H12))&lt;=2,"",MID(C13,IF(LEN(C13)-LEN(H12)&gt;=2,LEN(H12)+2,1),30))</f>
        <v>12#</v>
      </c>
      <c r="J12" s="151" t="s">
        <v>24</v>
      </c>
      <c r="K12" s="152"/>
      <c r="L12" s="153"/>
      <c r="M12" s="156"/>
      <c r="P12" s="286"/>
      <c r="Q12" s="287"/>
      <c r="R12" s="287"/>
      <c r="S12" s="188">
        <v>20</v>
      </c>
    </row>
    <row r="13" spans="1:20" ht="16.5" customHeight="1" x14ac:dyDescent="0.2">
      <c r="A13" s="38">
        <f>COUNTIF($J$1:J13,"!")</f>
        <v>2</v>
      </c>
      <c r="B13" s="185" t="s">
        <v>3402</v>
      </c>
      <c r="C13" s="164" t="s">
        <v>3403</v>
      </c>
      <c r="D13" s="166" t="s">
        <v>3242</v>
      </c>
      <c r="E13" s="166" t="str">
        <f t="shared" ref="E13" si="5">IF(D13="欣利铜材","米",IF(B13="熔断器","套","只"))</f>
        <v>只</v>
      </c>
      <c r="F13" s="166">
        <v>1</v>
      </c>
      <c r="G13" s="42">
        <f t="shared" ref="G13:G20" si="6">IFERROR(J13*K13,"")</f>
        <v>49.503999999999998</v>
      </c>
      <c r="H13" s="42">
        <f t="shared" ref="H13:H20" si="7">IFERROR(G13*F13,"")</f>
        <v>49.503999999999998</v>
      </c>
      <c r="I13" s="167"/>
      <c r="J13" s="168">
        <f t="shared" ref="J13:J20" si="8">P$1</f>
        <v>1.1200000000000001</v>
      </c>
      <c r="K13" s="169">
        <f t="shared" ref="K13:K20" si="9">IFERROR(M13*L13,"")</f>
        <v>44.199999999999996</v>
      </c>
      <c r="L13" s="170">
        <v>0.85</v>
      </c>
      <c r="M13" s="171">
        <f>IF(OR(ISNUMBER(FIND("#",C13)),ISNUMBER(FIND("GGD",C13)),ISNUMBER(FIND("GCK",C13)),ISNUMBER(FIND("GCS",C13)),ISNUMBER(FIND("MNS",C13))),VLOOKUP(C13,元件库!$B:$N,11,FALSE),ROUND(Q13*R13+S12+R12,0))</f>
        <v>52</v>
      </c>
      <c r="N13" s="188" t="s">
        <v>1932</v>
      </c>
      <c r="O13" s="288" t="s">
        <v>3280</v>
      </c>
      <c r="P13" s="289" t="s">
        <v>3279</v>
      </c>
      <c r="Q13" s="267">
        <f>IFERROR(VLOOKUP(P13&amp;"-"&amp;O13,元件库!$B:$O,11,FALSE),"")</f>
        <v>175</v>
      </c>
      <c r="R13" s="287" t="str">
        <f>IFERROR(((MID(C13,FIND(" ",C13)+1,FIND("*",REPLACE(C13,1,FIND(" ",C13),))-1)*MID(C13,FIND("*",C13)+1,FIND("*",REPLACE(C13,1,FIND("*",C13),))-1))+(MID(C13,FIND(" ",C13)+1,FIND("*",REPLACE(C13,1,FIND(" ",C13),))-1)*MID(C13,FIND("*",REPLACE(C13,FIND("*",C13),1,"+"))+1,10))+(MID(C13,FIND("*",C13)+1,FIND("*",REPLACE(C13,1,FIND("*",C13),))-1)*MID(C13,FIND("*",REPLACE(C13,FIND("*",C13),1,"+"))+1,10)))/500000*1.1+MID(C13,FIND(" ",C13)+1,FIND("*",REPLACE(C13,1,FIND(" ",C13),))-1)*MID(C13,FIND("*",C13)+1,FIND("*",REPLACE(C13,1,FIND("*",C13),))-1)*1.1/IF(N13=7,1000000,IF(N13=6.5,2000000,IF(AND(N13="公式",RIGHT(C13,3)*1&gt;300),2000000,IF(AND(N13="公式",RIGHT(C13,3)*1&lt;=300),1000000,"")))),"")</f>
        <v/>
      </c>
      <c r="S13" s="188" t="e">
        <f>IF(ISNUMBER(N13),"",IF(RIGHT(C13,3)*1&gt;300,6.5,IF(RIGHT(C13,3)*1&lt;=300,7)))</f>
        <v>#VALUE!</v>
      </c>
    </row>
    <row r="14" spans="1:20" s="188" customFormat="1" ht="16.5" customHeight="1" x14ac:dyDescent="0.2">
      <c r="A14" s="38">
        <f>COUNTIF($J$1:J14,"!")</f>
        <v>2</v>
      </c>
      <c r="B14" s="185" t="s">
        <v>3118</v>
      </c>
      <c r="C14" s="164" t="s">
        <v>3281</v>
      </c>
      <c r="D14" s="166" t="s">
        <v>1918</v>
      </c>
      <c r="E14" s="166" t="s">
        <v>29</v>
      </c>
      <c r="F14" s="166">
        <v>1</v>
      </c>
      <c r="G14" s="42">
        <f t="shared" si="6"/>
        <v>114.45280000000002</v>
      </c>
      <c r="H14" s="42">
        <f t="shared" si="7"/>
        <v>114.45280000000002</v>
      </c>
      <c r="I14" s="167"/>
      <c r="J14" s="168">
        <f t="shared" si="8"/>
        <v>1.1200000000000001</v>
      </c>
      <c r="K14" s="169">
        <f t="shared" si="9"/>
        <v>102.19000000000001</v>
      </c>
      <c r="L14" s="170">
        <v>0.55000000000000004</v>
      </c>
      <c r="M14" s="171">
        <v>185.8</v>
      </c>
      <c r="N14" s="172" t="str">
        <f t="shared" ref="N14:N20" ca="1" si="10">IF(AND(ISNUMBER(FIND("IF",_xlfn.FORMULATEXT(L14))),ISNUMBER(FIND("IF",_xlfn.FORMULATEXT(M14)))),"","值")</f>
        <v>值</v>
      </c>
      <c r="O14" s="186" t="str">
        <f>IFERROR(VLOOKUP(C14,元件库!$B:$N,13,FALSE)*F14,"")</f>
        <v/>
      </c>
      <c r="P14" s="161">
        <f t="shared" ref="P14:P20" si="11">F14*Q14</f>
        <v>3</v>
      </c>
      <c r="Q14" s="188">
        <v>3</v>
      </c>
    </row>
    <row r="15" spans="1:20" s="188" customFormat="1" ht="16.5" customHeight="1" x14ac:dyDescent="0.2">
      <c r="A15" s="38">
        <f>COUNTIF($J$1:J15,"!")</f>
        <v>2</v>
      </c>
      <c r="B15" s="185" t="s">
        <v>3118</v>
      </c>
      <c r="C15" s="164" t="s">
        <v>3282</v>
      </c>
      <c r="D15" s="165" t="s">
        <v>1918</v>
      </c>
      <c r="E15" s="166" t="s">
        <v>29</v>
      </c>
      <c r="F15" s="166">
        <v>6</v>
      </c>
      <c r="G15" s="42">
        <f t="shared" si="6"/>
        <v>33.818400000000004</v>
      </c>
      <c r="H15" s="42">
        <f t="shared" si="7"/>
        <v>202.91040000000004</v>
      </c>
      <c r="I15" s="167"/>
      <c r="J15" s="168">
        <f t="shared" si="8"/>
        <v>1.1200000000000001</v>
      </c>
      <c r="K15" s="169">
        <f t="shared" si="9"/>
        <v>30.195</v>
      </c>
      <c r="L15" s="170">
        <v>0.55000000000000004</v>
      </c>
      <c r="M15" s="171">
        <v>54.9</v>
      </c>
      <c r="N15" s="172" t="str">
        <f t="shared" ca="1" si="10"/>
        <v>值</v>
      </c>
      <c r="O15" s="186" t="str">
        <f>IFERROR(VLOOKUP(C15,元件库!$B:$N,13,FALSE)*F15,"")</f>
        <v/>
      </c>
      <c r="P15" s="161">
        <f t="shared" si="11"/>
        <v>6</v>
      </c>
      <c r="Q15" s="188">
        <v>1</v>
      </c>
    </row>
    <row r="16" spans="1:20" s="188" customFormat="1" ht="16.5" customHeight="1" x14ac:dyDescent="0.2">
      <c r="A16" s="38">
        <f>COUNTIF($J$1:J16,"!")</f>
        <v>2</v>
      </c>
      <c r="B16" s="185" t="s">
        <v>3118</v>
      </c>
      <c r="C16" s="164" t="s">
        <v>3281</v>
      </c>
      <c r="D16" s="166" t="s">
        <v>1918</v>
      </c>
      <c r="E16" s="166" t="s">
        <v>29</v>
      </c>
      <c r="F16" s="166">
        <v>1</v>
      </c>
      <c r="G16" s="42">
        <f t="shared" si="6"/>
        <v>114.45280000000002</v>
      </c>
      <c r="H16" s="42">
        <f t="shared" si="7"/>
        <v>114.45280000000002</v>
      </c>
      <c r="I16" s="167"/>
      <c r="J16" s="168">
        <f t="shared" si="8"/>
        <v>1.1200000000000001</v>
      </c>
      <c r="K16" s="169">
        <f t="shared" si="9"/>
        <v>102.19000000000001</v>
      </c>
      <c r="L16" s="170">
        <v>0.55000000000000004</v>
      </c>
      <c r="M16" s="171">
        <v>185.8</v>
      </c>
      <c r="N16" s="172" t="str">
        <f t="shared" ca="1" si="10"/>
        <v>值</v>
      </c>
      <c r="O16" s="186" t="str">
        <f>IFERROR(VLOOKUP(C16,元件库!$B:$N,13,FALSE)*F16,"")</f>
        <v/>
      </c>
      <c r="P16" s="161">
        <f t="shared" si="11"/>
        <v>3</v>
      </c>
      <c r="Q16" s="188">
        <v>3</v>
      </c>
    </row>
    <row r="17" spans="1:20" s="188" customFormat="1" ht="16.5" customHeight="1" x14ac:dyDescent="0.2">
      <c r="A17" s="38">
        <f>COUNTIF($J$1:J17,"!")</f>
        <v>2</v>
      </c>
      <c r="B17" s="185" t="s">
        <v>3118</v>
      </c>
      <c r="C17" s="164" t="s">
        <v>3282</v>
      </c>
      <c r="D17" s="165" t="s">
        <v>1918</v>
      </c>
      <c r="E17" s="166" t="s">
        <v>29</v>
      </c>
      <c r="F17" s="166">
        <v>6</v>
      </c>
      <c r="G17" s="42">
        <f t="shared" si="6"/>
        <v>33.818400000000004</v>
      </c>
      <c r="H17" s="42">
        <f t="shared" si="7"/>
        <v>202.91040000000004</v>
      </c>
      <c r="I17" s="167"/>
      <c r="J17" s="168">
        <f t="shared" si="8"/>
        <v>1.1200000000000001</v>
      </c>
      <c r="K17" s="169">
        <f t="shared" si="9"/>
        <v>30.195</v>
      </c>
      <c r="L17" s="170">
        <v>0.55000000000000004</v>
      </c>
      <c r="M17" s="171">
        <v>54.9</v>
      </c>
      <c r="N17" s="172" t="str">
        <f t="shared" ca="1" si="10"/>
        <v>值</v>
      </c>
      <c r="O17" s="186" t="str">
        <f>IFERROR(VLOOKUP(C17,元件库!$B:$N,13,FALSE)*F17,"")</f>
        <v/>
      </c>
      <c r="P17" s="161">
        <f t="shared" si="11"/>
        <v>6</v>
      </c>
      <c r="Q17" s="188">
        <v>1</v>
      </c>
    </row>
    <row r="18" spans="1:20" s="188" customFormat="1" ht="16.5" customHeight="1" x14ac:dyDescent="0.2">
      <c r="A18" s="38">
        <f>COUNTIF($J$1:J18,"!")</f>
        <v>2</v>
      </c>
      <c r="B18" s="185" t="s">
        <v>3118</v>
      </c>
      <c r="C18" s="164" t="s">
        <v>3281</v>
      </c>
      <c r="D18" s="166" t="s">
        <v>1918</v>
      </c>
      <c r="E18" s="166" t="s">
        <v>29</v>
      </c>
      <c r="F18" s="166">
        <v>1</v>
      </c>
      <c r="G18" s="42">
        <f t="shared" si="6"/>
        <v>114.45280000000002</v>
      </c>
      <c r="H18" s="42">
        <f t="shared" si="7"/>
        <v>114.45280000000002</v>
      </c>
      <c r="I18" s="167"/>
      <c r="J18" s="168">
        <f t="shared" si="8"/>
        <v>1.1200000000000001</v>
      </c>
      <c r="K18" s="169">
        <f t="shared" si="9"/>
        <v>102.19000000000001</v>
      </c>
      <c r="L18" s="170">
        <v>0.55000000000000004</v>
      </c>
      <c r="M18" s="171">
        <v>185.8</v>
      </c>
      <c r="N18" s="172" t="str">
        <f t="shared" ca="1" si="10"/>
        <v>值</v>
      </c>
      <c r="O18" s="186" t="str">
        <f>IFERROR(VLOOKUP(C18,元件库!$B:$N,13,FALSE)*F18,"")</f>
        <v/>
      </c>
      <c r="P18" s="161">
        <f t="shared" si="11"/>
        <v>3</v>
      </c>
      <c r="Q18" s="188">
        <v>3</v>
      </c>
    </row>
    <row r="19" spans="1:20" s="188" customFormat="1" ht="16.5" customHeight="1" x14ac:dyDescent="0.2">
      <c r="A19" s="38">
        <f>COUNTIF($J$1:J19,"!")</f>
        <v>2</v>
      </c>
      <c r="B19" s="185" t="s">
        <v>3118</v>
      </c>
      <c r="C19" s="164" t="s">
        <v>3282</v>
      </c>
      <c r="D19" s="165" t="s">
        <v>1918</v>
      </c>
      <c r="E19" s="166" t="s">
        <v>29</v>
      </c>
      <c r="F19" s="166">
        <v>6</v>
      </c>
      <c r="G19" s="42">
        <f t="shared" si="6"/>
        <v>33.818400000000004</v>
      </c>
      <c r="H19" s="42">
        <f t="shared" si="7"/>
        <v>202.91040000000004</v>
      </c>
      <c r="I19" s="167"/>
      <c r="J19" s="168">
        <f t="shared" si="8"/>
        <v>1.1200000000000001</v>
      </c>
      <c r="K19" s="169">
        <f t="shared" si="9"/>
        <v>30.195</v>
      </c>
      <c r="L19" s="170">
        <v>0.55000000000000004</v>
      </c>
      <c r="M19" s="171">
        <v>54.9</v>
      </c>
      <c r="N19" s="172" t="str">
        <f t="shared" ca="1" si="10"/>
        <v>值</v>
      </c>
      <c r="O19" s="186" t="str">
        <f>IFERROR(VLOOKUP(C19,元件库!$B:$N,13,FALSE)*F19,"")</f>
        <v/>
      </c>
      <c r="P19" s="161">
        <f t="shared" si="11"/>
        <v>6</v>
      </c>
      <c r="Q19" s="188">
        <v>1</v>
      </c>
    </row>
    <row r="20" spans="1:20" s="173" customFormat="1" ht="16.5" customHeight="1" x14ac:dyDescent="0.2">
      <c r="A20" s="38">
        <f>COUNTIF($J$1:J20,"!")</f>
        <v>2</v>
      </c>
      <c r="B20" s="163" t="s">
        <v>3283</v>
      </c>
      <c r="C20" s="164" t="s">
        <v>3284</v>
      </c>
      <c r="D20" s="165" t="s">
        <v>1918</v>
      </c>
      <c r="E20" s="166" t="s">
        <v>29</v>
      </c>
      <c r="F20" s="166">
        <v>1</v>
      </c>
      <c r="G20" s="42">
        <f t="shared" si="6"/>
        <v>93.262400000000014</v>
      </c>
      <c r="H20" s="42">
        <f t="shared" si="7"/>
        <v>93.262400000000014</v>
      </c>
      <c r="I20" s="167"/>
      <c r="J20" s="168">
        <f t="shared" si="8"/>
        <v>1.1200000000000001</v>
      </c>
      <c r="K20" s="169">
        <f t="shared" si="9"/>
        <v>83.27000000000001</v>
      </c>
      <c r="L20" s="170">
        <v>0.55000000000000004</v>
      </c>
      <c r="M20" s="171">
        <v>151.4</v>
      </c>
      <c r="N20" s="172" t="str">
        <f t="shared" ca="1" si="10"/>
        <v>值</v>
      </c>
      <c r="O20" s="186" t="str">
        <f>IFERROR(VLOOKUP(C20,元件库!$B:$N,13,FALSE)*F20,"")</f>
        <v/>
      </c>
      <c r="P20" s="161">
        <f t="shared" si="11"/>
        <v>2</v>
      </c>
      <c r="Q20" s="173">
        <v>2</v>
      </c>
    </row>
    <row r="21" spans="1:20" ht="16.5" customHeight="1" x14ac:dyDescent="0.2">
      <c r="A21" s="38">
        <f>COUNTIF($J$1:J21,"!")</f>
        <v>2</v>
      </c>
      <c r="B21" s="177" t="s">
        <v>107</v>
      </c>
      <c r="C21" s="164"/>
      <c r="D21" s="166"/>
      <c r="E21" s="166"/>
      <c r="F21" s="166"/>
      <c r="G21" s="42"/>
      <c r="H21" s="42"/>
      <c r="I21" s="178">
        <f>SUM(H13:H21)</f>
        <v>1094.8560000000002</v>
      </c>
      <c r="J21" s="168"/>
      <c r="K21" s="169"/>
      <c r="L21" s="170"/>
      <c r="M21" s="171"/>
      <c r="O21" s="186"/>
      <c r="P21" s="267"/>
      <c r="Q21" s="188"/>
      <c r="R21" s="267"/>
    </row>
    <row r="22" spans="1:20" ht="16.5" customHeight="1" x14ac:dyDescent="0.2">
      <c r="A22" s="38">
        <f>COUNTIF($J$1:J22,"!")</f>
        <v>2</v>
      </c>
      <c r="B22" s="177" t="s">
        <v>47</v>
      </c>
      <c r="C22" s="164"/>
      <c r="D22" s="166"/>
      <c r="E22" s="166"/>
      <c r="F22" s="166"/>
      <c r="G22" s="42"/>
      <c r="H22" s="42">
        <f>IFERROR(J22*K22,"")</f>
        <v>40.320000000000007</v>
      </c>
      <c r="I22" s="167"/>
      <c r="J22" s="168">
        <f>P$1</f>
        <v>1.1200000000000001</v>
      </c>
      <c r="K22" s="169">
        <f>IFERROR(M22*L22,"")</f>
        <v>36</v>
      </c>
      <c r="L22" s="170">
        <v>1</v>
      </c>
      <c r="M22" s="171">
        <f>IF(ISNUMBER(FIND("#",P22)),MID(P22,FIND(" ",P22)+1,FIND("#",P22)-FIND(" ",P22)-1)*IF(B22="成套费","3",IF(B22="辅件费",2,0)),IF(OR(ISNUMBER(FIND("PX",P22)),ISNUMBER(FIND("SX",P22)),ISNUMBER(FIND("RX",P22))),MID(P22,FIND("-",P22)+1,FIND(" ",P22)-FIND("-",P22)-1)*IF(B22="成套费","10",IF(B22="辅件费",3,0))+IF(B22="辅件费",15,0),IF(ROUND(MID(P22,FIND("*",REPLACE(P22,FIND("*",P22),1,"+"))+1,10),0)&gt;=350,MID(P22,FIND(" ",P22)+1,FIND("*",REPLACE(P22,1,FIND(" ",P22),))-1)*MID(P22,FIND("*",P22)+1,FIND("*",REPLACE(P22,1,FIND("*",P22),))-1)*IF(B22="成套费","5",IF(B22="辅件费",2.5,0))/10000,MID(P22,FIND(" ",P22)+1,FIND("*",REPLACE(P22,1,FIND(" ",P22),))-1)*MID(P22,FIND("*",P22)+1,FIND("*",REPLACE(P22,1,FIND("*",P22),))-1)*IF(B22="成套费","5",IF(B22="辅件费",3,0))/10000)))</f>
        <v>36</v>
      </c>
      <c r="O22" s="290">
        <f>SUM(O13:P21)</f>
        <v>29</v>
      </c>
      <c r="P22" s="291" t="str">
        <f>C13</f>
        <v>PZ30 12#</v>
      </c>
    </row>
    <row r="23" spans="1:20" s="187" customFormat="1" ht="16.5" customHeight="1" x14ac:dyDescent="0.2">
      <c r="A23" s="38">
        <f>COUNTIF($J$1:J23,"!")</f>
        <v>2</v>
      </c>
      <c r="B23" s="177" t="s">
        <v>49</v>
      </c>
      <c r="C23" s="164"/>
      <c r="D23" s="166"/>
      <c r="E23" s="166"/>
      <c r="F23" s="166"/>
      <c r="G23" s="42"/>
      <c r="H23" s="42">
        <f>IFERROR(J23*K23,"")</f>
        <v>26.880000000000003</v>
      </c>
      <c r="I23" s="167"/>
      <c r="J23" s="168">
        <f>P$1</f>
        <v>1.1200000000000001</v>
      </c>
      <c r="K23" s="169">
        <f>IFERROR(M23*L23,"")</f>
        <v>24</v>
      </c>
      <c r="L23" s="170">
        <v>1</v>
      </c>
      <c r="M23" s="171">
        <f>IF(ISNUMBER(FIND("#",P23)),MID(P23,FIND(" ",P23)+1,FIND("#",P23)-FIND(" ",P23)-1)*IF(B23="成套费","3",IF(B23="辅件费",2,0)),IF(OR(ISNUMBER(FIND("PX",P23)),ISNUMBER(FIND("SX",P23)),ISNUMBER(FIND("RX",P23))),MID(P23,FIND("-",P23)+1,FIND(" ",P23)-FIND("-",P23)-1)*IF(B23="成套费","10",IF(B23="辅件费",3,0))+IF(B23="辅件费",15,0),IF(ROUND(MID(P23,FIND("*",REPLACE(P23,FIND("*",P23),1,"+"))+1,10),0)&gt;=350,MID(P23,FIND(" ",P23)+1,FIND("*",REPLACE(P23,1,FIND(" ",P23),))-1)*MID(P23,FIND("*",P23)+1,FIND("*",REPLACE(P23,1,FIND("*",P23),))-1)*IF(B23="成套费","5",IF(B23="辅件费",2.5,0))/10000,MID(P23,FIND(" ",P23)+1,FIND("*",REPLACE(P23,1,FIND(" ",P23),))-1)*MID(P23,FIND("*",P23)+1,FIND("*",REPLACE(P23,1,FIND("*",P23),))-1)*IF(B23="成套费","5",IF(B23="辅件费",3,0))/10000)))</f>
        <v>24</v>
      </c>
      <c r="O23" s="292">
        <f>O22*1.8</f>
        <v>52.2</v>
      </c>
      <c r="P23" s="293" t="str">
        <f>P22</f>
        <v>PZ30 12#</v>
      </c>
      <c r="R23" s="188"/>
      <c r="S23" s="188"/>
      <c r="T23" s="188"/>
    </row>
    <row r="24" spans="1:20" s="187" customFormat="1" ht="16.5" customHeight="1" x14ac:dyDescent="0.2">
      <c r="A24" s="38">
        <f>COUNTIF($J$1:J24,"!")</f>
        <v>2</v>
      </c>
      <c r="B24" s="177" t="s">
        <v>79</v>
      </c>
      <c r="D24" s="166"/>
      <c r="E24" s="166"/>
      <c r="F24" s="166"/>
      <c r="G24" s="42"/>
      <c r="H24" s="42">
        <f>K24*L24</f>
        <v>69.723360000000014</v>
      </c>
      <c r="I24" s="167"/>
      <c r="J24" s="168"/>
      <c r="K24" s="169">
        <f>SUM(H22:H23)+I21</f>
        <v>1162.0560000000003</v>
      </c>
      <c r="L24" s="279">
        <f>R$1</f>
        <v>0.06</v>
      </c>
      <c r="M24" s="171"/>
      <c r="P24" s="293" t="str">
        <f>P22</f>
        <v>PZ30 12#</v>
      </c>
      <c r="R24" s="188"/>
      <c r="S24" s="188"/>
      <c r="T24" s="188"/>
    </row>
    <row r="25" spans="1:20" ht="16.5" customHeight="1" x14ac:dyDescent="0.2">
      <c r="A25" s="294">
        <f>COUNTIF($J$1:J25,"!")</f>
        <v>2</v>
      </c>
      <c r="B25" s="177" t="s">
        <v>108</v>
      </c>
      <c r="C25" s="164"/>
      <c r="D25" s="166"/>
      <c r="E25" s="166"/>
      <c r="F25" s="166"/>
      <c r="G25" s="184"/>
      <c r="H25" s="42">
        <f>K25*L25</f>
        <v>0</v>
      </c>
      <c r="I25" s="167"/>
      <c r="J25" s="168"/>
      <c r="K25" s="169">
        <f>H24+K24</f>
        <v>1231.7793600000002</v>
      </c>
      <c r="L25" s="279">
        <f>T$1</f>
        <v>0</v>
      </c>
      <c r="M25" s="171"/>
    </row>
  </sheetData>
  <autoFilter ref="A1:N16"/>
  <phoneticPr fontId="25" type="noConversion"/>
  <dataValidations count="3">
    <dataValidation type="list" allowBlank="1" showInputMessage="1" showErrorMessage="1" sqref="N3 N13">
      <formula1>"公式,6.5,7"</formula1>
    </dataValidation>
    <dataValidation type="list" allowBlank="1" showInputMessage="1" showErrorMessage="1" sqref="P3 P13">
      <formula1>"·,SPCC,S201,S304"</formula1>
    </dataValidation>
    <dataValidation type="list" allowBlank="1" showInputMessage="1" showErrorMessage="1" sqref="O3 O13">
      <formula1>"·,δ0.8,δ1.0,δ1.2,δ1.5,δ2.0"</formula1>
    </dataValidation>
  </dataValidations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OFFSET(元件库!$B$1,MATCH(C2&amp;"*",元件库!$B:$B,0)-1,,IF(COUNTIF(元件库!$B:$B,C2&amp;"*")&gt;1,40,1))</xm:f>
          </x14:formula1>
          <xm:sqref>C2:C25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0"/>
  <dimension ref="A1:S76"/>
  <sheetViews>
    <sheetView zoomScaleNormal="100" workbookViewId="0">
      <selection activeCell="J23" sqref="J23"/>
    </sheetView>
  </sheetViews>
  <sheetFormatPr defaultColWidth="9" defaultRowHeight="12" x14ac:dyDescent="0.15"/>
  <cols>
    <col min="1" max="1" width="4.125" style="130" customWidth="1"/>
    <col min="2" max="2" width="12.625" style="130" customWidth="1"/>
    <col min="3" max="3" width="20.125" style="130" customWidth="1"/>
    <col min="4" max="4" width="12.625" style="130" customWidth="1"/>
    <col min="5" max="5" width="4.125" style="130" customWidth="1"/>
    <col min="6" max="6" width="5.125" style="130" customWidth="1"/>
    <col min="7" max="8" width="10.125" style="130" customWidth="1"/>
    <col min="9" max="9" width="13.875" style="130" customWidth="1"/>
    <col min="10" max="10" width="8.25" style="128" customWidth="1"/>
    <col min="11" max="11" width="10.625" style="129" customWidth="1"/>
    <col min="12" max="12" width="12.875" style="130" customWidth="1"/>
    <col min="13" max="13" width="7.125" style="130" customWidth="1"/>
    <col min="14" max="16384" width="9" style="130"/>
  </cols>
  <sheetData>
    <row r="1" spans="1:19" s="309" customFormat="1" ht="71.25" customHeight="1" x14ac:dyDescent="0.2">
      <c r="A1" s="401" t="s">
        <v>3230</v>
      </c>
      <c r="B1" s="401"/>
      <c r="C1" s="401"/>
      <c r="D1" s="401"/>
      <c r="E1" s="401"/>
      <c r="F1" s="401"/>
      <c r="G1" s="401"/>
      <c r="H1" s="401"/>
      <c r="I1" s="401"/>
      <c r="J1" s="369"/>
      <c r="K1" s="369"/>
      <c r="L1" s="369"/>
      <c r="M1" s="369"/>
      <c r="N1" s="369"/>
      <c r="O1" s="369"/>
      <c r="P1" s="369"/>
      <c r="Q1" s="369"/>
      <c r="R1" s="369"/>
      <c r="S1" s="369"/>
    </row>
    <row r="2" spans="1:19" s="309" customFormat="1" ht="18.95" customHeight="1" x14ac:dyDescent="0.2">
      <c r="A2" s="395" t="s">
        <v>3231</v>
      </c>
      <c r="B2" s="395"/>
      <c r="C2" s="395"/>
      <c r="D2" s="395"/>
      <c r="E2" s="396" t="s">
        <v>240</v>
      </c>
      <c r="F2" s="396"/>
      <c r="G2" s="397" t="str">
        <f ca="1">"ENJ"&amp;TEXT(G3,"emmdd")&amp;SUM(F7:F30)&amp;L3&amp;"0001"</f>
        <v>ENJ20181210130001</v>
      </c>
      <c r="H2" s="397"/>
      <c r="I2" s="397"/>
      <c r="J2" s="308"/>
      <c r="L2" s="370"/>
      <c r="M2" s="214"/>
      <c r="N2" s="214"/>
    </row>
    <row r="3" spans="1:19" s="312" customFormat="1" ht="18.95" customHeight="1" x14ac:dyDescent="0.2">
      <c r="A3" s="398" t="s">
        <v>239</v>
      </c>
      <c r="B3" s="398"/>
      <c r="C3" s="398"/>
      <c r="D3" s="398"/>
      <c r="E3" s="396" t="s">
        <v>242</v>
      </c>
      <c r="F3" s="396"/>
      <c r="G3" s="402">
        <v>43444</v>
      </c>
      <c r="H3" s="402"/>
      <c r="I3" s="402"/>
      <c r="J3" s="311" t="s">
        <v>248</v>
      </c>
      <c r="L3" s="371"/>
      <c r="M3" s="313"/>
      <c r="N3" s="313"/>
    </row>
    <row r="4" spans="1:19" s="312" customFormat="1" ht="18.95" customHeight="1" x14ac:dyDescent="0.2">
      <c r="A4" s="398" t="s">
        <v>241</v>
      </c>
      <c r="B4" s="398"/>
      <c r="C4" s="398"/>
      <c r="D4" s="398"/>
      <c r="E4" s="403" t="s">
        <v>3232</v>
      </c>
      <c r="F4" s="403"/>
      <c r="G4" s="404" t="s">
        <v>243</v>
      </c>
      <c r="H4" s="404"/>
      <c r="I4" s="404"/>
      <c r="J4" s="314"/>
      <c r="L4" s="416">
        <f ca="1">TODAY()</f>
        <v>43472</v>
      </c>
      <c r="M4" s="416"/>
      <c r="N4" s="416"/>
    </row>
    <row r="5" spans="1:19" s="316" customFormat="1" ht="18.95" customHeight="1" x14ac:dyDescent="0.15">
      <c r="A5" s="394" t="s">
        <v>3233</v>
      </c>
      <c r="B5" s="394"/>
      <c r="C5" s="394"/>
      <c r="D5" s="394"/>
      <c r="E5" s="403"/>
      <c r="F5" s="403"/>
      <c r="G5" s="404"/>
      <c r="H5" s="404"/>
      <c r="I5" s="404"/>
      <c r="J5" s="315"/>
      <c r="L5" s="317"/>
      <c r="M5" s="317"/>
      <c r="N5" s="317"/>
    </row>
    <row r="6" spans="1:19" s="316" customFormat="1" ht="18.95" customHeight="1" x14ac:dyDescent="0.15">
      <c r="A6" s="394" t="s">
        <v>3244</v>
      </c>
      <c r="B6" s="394"/>
      <c r="C6" s="394"/>
      <c r="D6" s="394"/>
      <c r="E6" s="394"/>
      <c r="F6" s="394"/>
      <c r="G6" s="394"/>
      <c r="H6" s="394"/>
      <c r="I6" s="394"/>
      <c r="J6" s="315"/>
      <c r="L6" s="317"/>
      <c r="M6" s="317"/>
      <c r="N6" s="317"/>
    </row>
    <row r="7" spans="1:19" s="23" customFormat="1" ht="18.95" customHeight="1" x14ac:dyDescent="0.2">
      <c r="A7" s="373" t="s">
        <v>8</v>
      </c>
      <c r="B7" s="374" t="s">
        <v>9</v>
      </c>
      <c r="C7" s="376" t="s">
        <v>3245</v>
      </c>
      <c r="D7" s="374" t="s">
        <v>3246</v>
      </c>
      <c r="E7" s="374" t="s">
        <v>13</v>
      </c>
      <c r="F7" s="374" t="s">
        <v>14</v>
      </c>
      <c r="G7" s="375" t="s">
        <v>77</v>
      </c>
      <c r="H7" s="375" t="s">
        <v>78</v>
      </c>
      <c r="I7" s="374" t="s">
        <v>17</v>
      </c>
      <c r="J7" s="131"/>
      <c r="K7" s="132"/>
    </row>
    <row r="8" spans="1:19" s="127" customFormat="1" ht="24" customHeight="1" x14ac:dyDescent="0.2">
      <c r="A8" s="405" t="s">
        <v>2165</v>
      </c>
      <c r="B8" s="405"/>
      <c r="C8" s="133"/>
      <c r="E8" s="134"/>
      <c r="F8" s="134"/>
      <c r="I8" s="135" t="str">
        <f>IF(A8="变压器","",IF(A8="配电箱","宽*高*深(W*H*D)","宽*深*高(W*D*H)"))</f>
        <v>宽*深*高(W*D*H)</v>
      </c>
      <c r="J8" s="126" t="str">
        <f>IF(ISNUMBER(FIND("开关柜",A8)),LEFT(A8,LEN(A8)-3),A8)</f>
        <v>10KV高压</v>
      </c>
      <c r="K8" s="125"/>
    </row>
    <row r="9" spans="1:19" ht="18.95" customHeight="1" x14ac:dyDescent="0.15">
      <c r="A9" s="121">
        <f ca="1">COUNTIF(J$8:J9,J9)-1</f>
        <v>1</v>
      </c>
      <c r="B9" s="122" t="str">
        <f t="shared" ref="B9:B26" ca="1" si="0">IFERROR(VLOOKUP(A9,INDIRECT("'"&amp;J9&amp;"'!A:I"),2,FALSE),"")</f>
        <v>高压进线柜</v>
      </c>
      <c r="C9" s="122" t="str">
        <f t="shared" ref="C9:C26" ca="1" si="1">IFERROR(VLOOKUP(A9,INDIRECT("'"&amp;J9&amp;"'!A:I"),8,FALSE)&amp;":"&amp;VLOOKUP(A9,INDIRECT("'"&amp;J9&amp;"'!A:I"),3,FALSE),"")</f>
        <v>KYN28A:AH1.13</v>
      </c>
      <c r="D9" s="122" t="str">
        <f t="shared" ref="D9:D26" ca="1" si="2">IF(B9="","",IF(VLOOKUP(A9,INDIRECT("'"&amp;J9&amp;"'!A:I"),4,FALSE)="","",IFERROR(VLOOKUP(A9,INDIRECT("'"&amp;J9&amp;"'!A:I"),4,FALSE),"")))</f>
        <v/>
      </c>
      <c r="E9" s="102" t="str">
        <f t="shared" ref="E9:E26" ca="1" si="3">IFERROR(VLOOKUP(A9,INDIRECT("'"&amp;J9&amp;"'!A:I"),5,FALSE),"")</f>
        <v>台</v>
      </c>
      <c r="F9" s="41">
        <f t="shared" ref="F9:F26" ca="1" si="4">IFERROR(VLOOKUP(A9,INDIRECT("'"&amp;J9&amp;"'!A:I"),6,FALSE),"")</f>
        <v>2</v>
      </c>
      <c r="G9" s="123">
        <f t="shared" ref="G9:G26" ca="1" si="5">IFERROR(VLOOKUP(A9,INDIRECT("'"&amp;J9&amp;"'!A:I"),7,FALSE),"")</f>
        <v>25547</v>
      </c>
      <c r="H9" s="124">
        <f t="shared" ref="H9:H26" ca="1" si="6">IFERROR(F9*G9,"")</f>
        <v>51094</v>
      </c>
      <c r="I9" s="123" t="str">
        <f t="shared" ref="I9:I26" ca="1" si="7">IF(B9="","",IF(VLOOKUP(A9,INDIRECT("'"&amp;J9&amp;"'!A:J"),9,FALSE)="","",IFERROR(VLOOKUP(A9,INDIRECT("'"&amp;J9&amp;"'!A:J"),9,FALSE),"")))</f>
        <v>800*1500*2300</v>
      </c>
      <c r="J9" s="126" t="str">
        <f t="shared" ref="J9:J30" ca="1" si="8">INDIRECT("J"&amp;ROW()-1)</f>
        <v>10KV高压</v>
      </c>
    </row>
    <row r="10" spans="1:19" ht="18.95" customHeight="1" x14ac:dyDescent="0.15">
      <c r="A10" s="121">
        <f ca="1">COUNTIF(J$8:J10,J10)-1</f>
        <v>2</v>
      </c>
      <c r="B10" s="122" t="str">
        <f t="shared" ca="1" si="0"/>
        <v>高压计量柜</v>
      </c>
      <c r="C10" s="122" t="str">
        <f t="shared" ca="1" si="1"/>
        <v>KYN28A:AH2.12</v>
      </c>
      <c r="D10" s="122" t="str">
        <f t="shared" ca="1" si="2"/>
        <v/>
      </c>
      <c r="E10" s="102" t="str">
        <f t="shared" ca="1" si="3"/>
        <v>台</v>
      </c>
      <c r="F10" s="41">
        <f t="shared" ca="1" si="4"/>
        <v>2</v>
      </c>
      <c r="G10" s="123">
        <f t="shared" ca="1" si="5"/>
        <v>20212</v>
      </c>
      <c r="H10" s="124">
        <f t="shared" ca="1" si="6"/>
        <v>40424</v>
      </c>
      <c r="I10" s="123" t="str">
        <f t="shared" ca="1" si="7"/>
        <v>800*1500*2300</v>
      </c>
      <c r="J10" s="126" t="str">
        <f t="shared" ca="1" si="8"/>
        <v>10KV高压</v>
      </c>
    </row>
    <row r="11" spans="1:19" ht="18.95" customHeight="1" x14ac:dyDescent="0.15">
      <c r="A11" s="121">
        <f ca="1">COUNTIF(J$8:J11,J11)-1</f>
        <v>3</v>
      </c>
      <c r="B11" s="122" t="str">
        <f t="shared" ca="1" si="0"/>
        <v>高压PT柜</v>
      </c>
      <c r="C11" s="122" t="str">
        <f t="shared" ca="1" si="1"/>
        <v>KYN28A:AH3.11</v>
      </c>
      <c r="D11" s="122" t="str">
        <f t="shared" ca="1" si="2"/>
        <v/>
      </c>
      <c r="E11" s="102" t="str">
        <f t="shared" ca="1" si="3"/>
        <v>台</v>
      </c>
      <c r="F11" s="41">
        <f t="shared" ca="1" si="4"/>
        <v>2</v>
      </c>
      <c r="G11" s="123">
        <f t="shared" ca="1" si="5"/>
        <v>18785</v>
      </c>
      <c r="H11" s="124">
        <f t="shared" ca="1" si="6"/>
        <v>37570</v>
      </c>
      <c r="I11" s="123" t="str">
        <f t="shared" ca="1" si="7"/>
        <v>800*1500*2300</v>
      </c>
      <c r="J11" s="126" t="str">
        <f t="shared" ca="1" si="8"/>
        <v>10KV高压</v>
      </c>
    </row>
    <row r="12" spans="1:19" ht="18.95" customHeight="1" x14ac:dyDescent="0.15">
      <c r="A12" s="121">
        <f ca="1">COUNTIF(J$8:J12,J12)-1</f>
        <v>4</v>
      </c>
      <c r="B12" s="122" t="str">
        <f t="shared" ca="1" si="0"/>
        <v>高压馈线柜</v>
      </c>
      <c r="C12" s="122" t="str">
        <f t="shared" ca="1" si="1"/>
        <v>KYN28A:AH4~6.9.10</v>
      </c>
      <c r="D12" s="122" t="str">
        <f t="shared" ca="1" si="2"/>
        <v/>
      </c>
      <c r="E12" s="102" t="str">
        <f t="shared" ca="1" si="3"/>
        <v>台</v>
      </c>
      <c r="F12" s="41">
        <f t="shared" ca="1" si="4"/>
        <v>5</v>
      </c>
      <c r="G12" s="123">
        <f t="shared" ca="1" si="5"/>
        <v>23047</v>
      </c>
      <c r="H12" s="124">
        <f t="shared" ca="1" si="6"/>
        <v>115235</v>
      </c>
      <c r="I12" s="123" t="str">
        <f t="shared" ca="1" si="7"/>
        <v>800*1500*2300</v>
      </c>
      <c r="J12" s="126" t="str">
        <f t="shared" ca="1" si="8"/>
        <v>10KV高压</v>
      </c>
    </row>
    <row r="13" spans="1:19" ht="18.95" customHeight="1" x14ac:dyDescent="0.15">
      <c r="A13" s="121">
        <f ca="1">COUNTIF(J$8:J13,J13)-1</f>
        <v>5</v>
      </c>
      <c r="B13" s="122" t="str">
        <f t="shared" ca="1" si="0"/>
        <v>高压母联柜</v>
      </c>
      <c r="C13" s="122" t="str">
        <f t="shared" ca="1" si="1"/>
        <v>KYN28A:AH7</v>
      </c>
      <c r="D13" s="122" t="str">
        <f t="shared" ca="1" si="2"/>
        <v/>
      </c>
      <c r="E13" s="102" t="str">
        <f t="shared" ca="1" si="3"/>
        <v>台</v>
      </c>
      <c r="F13" s="41">
        <f t="shared" ca="1" si="4"/>
        <v>1</v>
      </c>
      <c r="G13" s="123">
        <f t="shared" ca="1" si="5"/>
        <v>23690</v>
      </c>
      <c r="H13" s="124">
        <f t="shared" ca="1" si="6"/>
        <v>23690</v>
      </c>
      <c r="I13" s="123" t="str">
        <f t="shared" ca="1" si="7"/>
        <v>800*1500*2300</v>
      </c>
      <c r="J13" s="126" t="str">
        <f t="shared" ca="1" si="8"/>
        <v>10KV高压</v>
      </c>
    </row>
    <row r="14" spans="1:19" ht="18.95" customHeight="1" x14ac:dyDescent="0.15">
      <c r="A14" s="121">
        <f ca="1">COUNTIF(J$8:J14,J14)-1</f>
        <v>6</v>
      </c>
      <c r="B14" s="122" t="str">
        <f t="shared" ca="1" si="0"/>
        <v>高压隔离柜</v>
      </c>
      <c r="C14" s="122" t="str">
        <f t="shared" ca="1" si="1"/>
        <v>KYN28A:AH8</v>
      </c>
      <c r="D14" s="122" t="str">
        <f t="shared" ca="1" si="2"/>
        <v/>
      </c>
      <c r="E14" s="102" t="str">
        <f t="shared" ca="1" si="3"/>
        <v>台</v>
      </c>
      <c r="F14" s="41">
        <f t="shared" ca="1" si="4"/>
        <v>1</v>
      </c>
      <c r="G14" s="123">
        <f t="shared" ca="1" si="5"/>
        <v>16126</v>
      </c>
      <c r="H14" s="124">
        <f t="shared" ca="1" si="6"/>
        <v>16126</v>
      </c>
      <c r="I14" s="123" t="str">
        <f t="shared" ca="1" si="7"/>
        <v>800*1500*2300</v>
      </c>
      <c r="J14" s="126" t="str">
        <f t="shared" ca="1" si="8"/>
        <v>10KV高压</v>
      </c>
    </row>
    <row r="15" spans="1:19" ht="18.95" customHeight="1" x14ac:dyDescent="0.15">
      <c r="A15" s="121">
        <f ca="1">COUNTIF(J$8:J15,J15)-1</f>
        <v>7</v>
      </c>
      <c r="B15" s="122" t="str">
        <f t="shared" ca="1" si="0"/>
        <v/>
      </c>
      <c r="C15" s="122" t="str">
        <f t="shared" ca="1" si="1"/>
        <v/>
      </c>
      <c r="D15" s="122" t="str">
        <f t="shared" ca="1" si="2"/>
        <v/>
      </c>
      <c r="E15" s="102" t="str">
        <f t="shared" ca="1" si="3"/>
        <v/>
      </c>
      <c r="F15" s="41" t="str">
        <f t="shared" ca="1" si="4"/>
        <v/>
      </c>
      <c r="G15" s="123" t="str">
        <f t="shared" ca="1" si="5"/>
        <v/>
      </c>
      <c r="H15" s="124" t="str">
        <f t="shared" ca="1" si="6"/>
        <v/>
      </c>
      <c r="I15" s="123" t="str">
        <f t="shared" ca="1" si="7"/>
        <v/>
      </c>
      <c r="J15" s="126" t="str">
        <f t="shared" ca="1" si="8"/>
        <v>10KV高压</v>
      </c>
    </row>
    <row r="16" spans="1:19" ht="18.95" customHeight="1" x14ac:dyDescent="0.15">
      <c r="A16" s="121">
        <f ca="1">COUNTIF(J$8:J16,J16)-1</f>
        <v>8</v>
      </c>
      <c r="B16" s="122" t="str">
        <f t="shared" ca="1" si="0"/>
        <v/>
      </c>
      <c r="C16" s="122" t="str">
        <f t="shared" ca="1" si="1"/>
        <v/>
      </c>
      <c r="D16" s="122" t="str">
        <f t="shared" ca="1" si="2"/>
        <v/>
      </c>
      <c r="E16" s="102" t="str">
        <f t="shared" ca="1" si="3"/>
        <v/>
      </c>
      <c r="F16" s="41" t="str">
        <f t="shared" ca="1" si="4"/>
        <v/>
      </c>
      <c r="G16" s="123" t="str">
        <f t="shared" ca="1" si="5"/>
        <v/>
      </c>
      <c r="H16" s="124" t="str">
        <f t="shared" ca="1" si="6"/>
        <v/>
      </c>
      <c r="I16" s="123" t="str">
        <f t="shared" ca="1" si="7"/>
        <v/>
      </c>
      <c r="J16" s="126" t="str">
        <f t="shared" ca="1" si="8"/>
        <v>10KV高压</v>
      </c>
    </row>
    <row r="17" spans="1:14" ht="18.95" customHeight="1" x14ac:dyDescent="0.15">
      <c r="A17" s="121">
        <f ca="1">COUNTIF(J$8:J17,J17)-1</f>
        <v>9</v>
      </c>
      <c r="B17" s="122" t="str">
        <f t="shared" ca="1" si="0"/>
        <v/>
      </c>
      <c r="C17" s="122" t="str">
        <f t="shared" ca="1" si="1"/>
        <v/>
      </c>
      <c r="D17" s="122" t="str">
        <f t="shared" ca="1" si="2"/>
        <v/>
      </c>
      <c r="E17" s="102" t="str">
        <f t="shared" ca="1" si="3"/>
        <v/>
      </c>
      <c r="F17" s="41" t="str">
        <f t="shared" ca="1" si="4"/>
        <v/>
      </c>
      <c r="G17" s="123" t="str">
        <f t="shared" ca="1" si="5"/>
        <v/>
      </c>
      <c r="H17" s="124" t="str">
        <f t="shared" ca="1" si="6"/>
        <v/>
      </c>
      <c r="I17" s="123" t="str">
        <f t="shared" ca="1" si="7"/>
        <v/>
      </c>
      <c r="J17" s="126" t="str">
        <f t="shared" ca="1" si="8"/>
        <v>10KV高压</v>
      </c>
    </row>
    <row r="18" spans="1:14" ht="18.95" customHeight="1" x14ac:dyDescent="0.15">
      <c r="A18" s="121">
        <f ca="1">COUNTIF(J$8:J18,J18)-1</f>
        <v>10</v>
      </c>
      <c r="B18" s="122" t="str">
        <f t="shared" ca="1" si="0"/>
        <v/>
      </c>
      <c r="C18" s="122" t="str">
        <f t="shared" ca="1" si="1"/>
        <v/>
      </c>
      <c r="D18" s="122" t="str">
        <f t="shared" ca="1" si="2"/>
        <v/>
      </c>
      <c r="E18" s="102" t="str">
        <f t="shared" ca="1" si="3"/>
        <v/>
      </c>
      <c r="F18" s="41" t="str">
        <f t="shared" ca="1" si="4"/>
        <v/>
      </c>
      <c r="G18" s="123" t="str">
        <f t="shared" ca="1" si="5"/>
        <v/>
      </c>
      <c r="H18" s="124" t="str">
        <f t="shared" ca="1" si="6"/>
        <v/>
      </c>
      <c r="I18" s="123" t="str">
        <f t="shared" ca="1" si="7"/>
        <v/>
      </c>
      <c r="J18" s="126" t="str">
        <f t="shared" ca="1" si="8"/>
        <v>10KV高压</v>
      </c>
    </row>
    <row r="19" spans="1:14" ht="18.95" customHeight="1" x14ac:dyDescent="0.15">
      <c r="A19" s="121">
        <f ca="1">COUNTIF(J$8:J19,J19)-1</f>
        <v>11</v>
      </c>
      <c r="B19" s="122" t="str">
        <f t="shared" ca="1" si="0"/>
        <v/>
      </c>
      <c r="C19" s="122" t="str">
        <f t="shared" ca="1" si="1"/>
        <v/>
      </c>
      <c r="D19" s="122" t="str">
        <f t="shared" ca="1" si="2"/>
        <v/>
      </c>
      <c r="E19" s="102" t="str">
        <f t="shared" ca="1" si="3"/>
        <v/>
      </c>
      <c r="F19" s="41" t="str">
        <f t="shared" ca="1" si="4"/>
        <v/>
      </c>
      <c r="G19" s="123" t="str">
        <f t="shared" ca="1" si="5"/>
        <v/>
      </c>
      <c r="H19" s="124" t="str">
        <f t="shared" ca="1" si="6"/>
        <v/>
      </c>
      <c r="I19" s="123" t="str">
        <f t="shared" ca="1" si="7"/>
        <v/>
      </c>
      <c r="J19" s="126" t="str">
        <f t="shared" ca="1" si="8"/>
        <v>10KV高压</v>
      </c>
    </row>
    <row r="20" spans="1:14" ht="18.95" customHeight="1" x14ac:dyDescent="0.15">
      <c r="A20" s="121">
        <f ca="1">COUNTIF(J$8:J20,J20)-1</f>
        <v>12</v>
      </c>
      <c r="B20" s="122" t="str">
        <f t="shared" ca="1" si="0"/>
        <v/>
      </c>
      <c r="C20" s="122" t="str">
        <f t="shared" ca="1" si="1"/>
        <v/>
      </c>
      <c r="D20" s="122" t="str">
        <f t="shared" ca="1" si="2"/>
        <v/>
      </c>
      <c r="E20" s="102" t="str">
        <f t="shared" ca="1" si="3"/>
        <v/>
      </c>
      <c r="F20" s="41" t="str">
        <f t="shared" ca="1" si="4"/>
        <v/>
      </c>
      <c r="G20" s="123" t="str">
        <f t="shared" ca="1" si="5"/>
        <v/>
      </c>
      <c r="H20" s="124" t="str">
        <f t="shared" ca="1" si="6"/>
        <v/>
      </c>
      <c r="I20" s="123" t="str">
        <f t="shared" ca="1" si="7"/>
        <v/>
      </c>
      <c r="J20" s="126" t="str">
        <f t="shared" ca="1" si="8"/>
        <v>10KV高压</v>
      </c>
    </row>
    <row r="21" spans="1:14" ht="18.95" customHeight="1" x14ac:dyDescent="0.15">
      <c r="A21" s="121">
        <f ca="1">COUNTIF(J$8:J21,J21)-1</f>
        <v>13</v>
      </c>
      <c r="B21" s="122" t="str">
        <f t="shared" ca="1" si="0"/>
        <v/>
      </c>
      <c r="C21" s="122" t="str">
        <f t="shared" ca="1" si="1"/>
        <v/>
      </c>
      <c r="D21" s="122" t="str">
        <f t="shared" ca="1" si="2"/>
        <v/>
      </c>
      <c r="E21" s="102" t="str">
        <f t="shared" ca="1" si="3"/>
        <v/>
      </c>
      <c r="F21" s="41" t="str">
        <f t="shared" ca="1" si="4"/>
        <v/>
      </c>
      <c r="G21" s="123" t="str">
        <f t="shared" ca="1" si="5"/>
        <v/>
      </c>
      <c r="H21" s="124" t="str">
        <f t="shared" ca="1" si="6"/>
        <v/>
      </c>
      <c r="I21" s="123" t="str">
        <f t="shared" ca="1" si="7"/>
        <v/>
      </c>
      <c r="J21" s="126" t="str">
        <f t="shared" ca="1" si="8"/>
        <v>10KV高压</v>
      </c>
    </row>
    <row r="22" spans="1:14" ht="18.95" customHeight="1" x14ac:dyDescent="0.15">
      <c r="A22" s="121">
        <f ca="1">COUNTIF(J$8:J22,J22)-1</f>
        <v>14</v>
      </c>
      <c r="B22" s="122" t="str">
        <f t="shared" ca="1" si="0"/>
        <v/>
      </c>
      <c r="C22" s="122" t="str">
        <f t="shared" ca="1" si="1"/>
        <v/>
      </c>
      <c r="D22" s="122" t="str">
        <f t="shared" ca="1" si="2"/>
        <v/>
      </c>
      <c r="E22" s="102" t="str">
        <f t="shared" ca="1" si="3"/>
        <v/>
      </c>
      <c r="F22" s="41" t="str">
        <f t="shared" ca="1" si="4"/>
        <v/>
      </c>
      <c r="G22" s="123" t="str">
        <f t="shared" ca="1" si="5"/>
        <v/>
      </c>
      <c r="H22" s="124" t="str">
        <f t="shared" ca="1" si="6"/>
        <v/>
      </c>
      <c r="I22" s="123" t="str">
        <f t="shared" ca="1" si="7"/>
        <v/>
      </c>
      <c r="J22" s="126" t="str">
        <f t="shared" ca="1" si="8"/>
        <v>10KV高压</v>
      </c>
    </row>
    <row r="23" spans="1:14" ht="18.95" customHeight="1" x14ac:dyDescent="0.15">
      <c r="A23" s="121">
        <f ca="1">COUNTIF(J$8:J23,J23)-1</f>
        <v>15</v>
      </c>
      <c r="B23" s="122" t="str">
        <f t="shared" ca="1" si="0"/>
        <v/>
      </c>
      <c r="C23" s="122" t="str">
        <f t="shared" ca="1" si="1"/>
        <v/>
      </c>
      <c r="D23" s="122" t="str">
        <f t="shared" ca="1" si="2"/>
        <v/>
      </c>
      <c r="E23" s="102" t="str">
        <f t="shared" ca="1" si="3"/>
        <v/>
      </c>
      <c r="F23" s="41" t="str">
        <f t="shared" ca="1" si="4"/>
        <v/>
      </c>
      <c r="G23" s="123" t="str">
        <f t="shared" ca="1" si="5"/>
        <v/>
      </c>
      <c r="H23" s="124" t="str">
        <f t="shared" ca="1" si="6"/>
        <v/>
      </c>
      <c r="I23" s="123" t="str">
        <f t="shared" ca="1" si="7"/>
        <v/>
      </c>
      <c r="J23" s="126" t="str">
        <f t="shared" ca="1" si="8"/>
        <v>10KV高压</v>
      </c>
    </row>
    <row r="24" spans="1:14" ht="18.95" customHeight="1" x14ac:dyDescent="0.15">
      <c r="A24" s="121">
        <f ca="1">COUNTIF(J$8:J24,J24)-1</f>
        <v>16</v>
      </c>
      <c r="B24" s="122" t="str">
        <f t="shared" ca="1" si="0"/>
        <v/>
      </c>
      <c r="C24" s="122" t="str">
        <f t="shared" ca="1" si="1"/>
        <v/>
      </c>
      <c r="D24" s="122" t="str">
        <f t="shared" ca="1" si="2"/>
        <v/>
      </c>
      <c r="E24" s="102" t="str">
        <f t="shared" ca="1" si="3"/>
        <v/>
      </c>
      <c r="F24" s="41" t="str">
        <f t="shared" ca="1" si="4"/>
        <v/>
      </c>
      <c r="G24" s="123" t="str">
        <f t="shared" ca="1" si="5"/>
        <v/>
      </c>
      <c r="H24" s="124" t="str">
        <f t="shared" ca="1" si="6"/>
        <v/>
      </c>
      <c r="I24" s="123" t="str">
        <f t="shared" ca="1" si="7"/>
        <v/>
      </c>
      <c r="J24" s="126" t="str">
        <f t="shared" ca="1" si="8"/>
        <v>10KV高压</v>
      </c>
    </row>
    <row r="25" spans="1:14" ht="18.95" customHeight="1" x14ac:dyDescent="0.15">
      <c r="A25" s="121">
        <f ca="1">COUNTIF(J$8:J25,J25)-1</f>
        <v>17</v>
      </c>
      <c r="B25" s="122" t="str">
        <f t="shared" ca="1" si="0"/>
        <v/>
      </c>
      <c r="C25" s="122" t="str">
        <f t="shared" ca="1" si="1"/>
        <v/>
      </c>
      <c r="D25" s="122" t="str">
        <f t="shared" ca="1" si="2"/>
        <v/>
      </c>
      <c r="E25" s="102" t="str">
        <f t="shared" ca="1" si="3"/>
        <v/>
      </c>
      <c r="F25" s="41" t="str">
        <f t="shared" ca="1" si="4"/>
        <v/>
      </c>
      <c r="G25" s="123" t="str">
        <f t="shared" ca="1" si="5"/>
        <v/>
      </c>
      <c r="H25" s="124" t="str">
        <f t="shared" ca="1" si="6"/>
        <v/>
      </c>
      <c r="I25" s="123" t="str">
        <f t="shared" ca="1" si="7"/>
        <v/>
      </c>
      <c r="J25" s="126" t="str">
        <f t="shared" ca="1" si="8"/>
        <v>10KV高压</v>
      </c>
    </row>
    <row r="26" spans="1:14" ht="18.95" customHeight="1" x14ac:dyDescent="0.15">
      <c r="A26" s="121">
        <f ca="1">COUNTIF(J$8:J26,J26)-1</f>
        <v>18</v>
      </c>
      <c r="B26" s="122" t="str">
        <f t="shared" ca="1" si="0"/>
        <v/>
      </c>
      <c r="C26" s="122" t="str">
        <f t="shared" ca="1" si="1"/>
        <v/>
      </c>
      <c r="D26" s="122" t="str">
        <f t="shared" ca="1" si="2"/>
        <v/>
      </c>
      <c r="E26" s="102" t="str">
        <f t="shared" ca="1" si="3"/>
        <v/>
      </c>
      <c r="F26" s="41" t="str">
        <f t="shared" ca="1" si="4"/>
        <v/>
      </c>
      <c r="G26" s="123" t="str">
        <f t="shared" ca="1" si="5"/>
        <v/>
      </c>
      <c r="H26" s="124" t="str">
        <f t="shared" ca="1" si="6"/>
        <v/>
      </c>
      <c r="I26" s="123" t="str">
        <f t="shared" ca="1" si="7"/>
        <v/>
      </c>
      <c r="J26" s="126" t="str">
        <f t="shared" ca="1" si="8"/>
        <v>10KV高压</v>
      </c>
    </row>
    <row r="27" spans="1:14" ht="12" customHeight="1" x14ac:dyDescent="0.15">
      <c r="A27" s="400"/>
      <c r="B27" s="400"/>
      <c r="C27" s="400"/>
      <c r="D27" s="400"/>
      <c r="E27" s="400"/>
      <c r="F27" s="400"/>
      <c r="G27" s="400"/>
      <c r="H27" s="400"/>
      <c r="I27" s="400"/>
      <c r="J27" s="126" t="str">
        <f t="shared" ca="1" si="8"/>
        <v>10KV高压</v>
      </c>
      <c r="K27" s="130"/>
    </row>
    <row r="28" spans="1:14" ht="18.95" customHeight="1" x14ac:dyDescent="0.15">
      <c r="A28" s="406" t="str">
        <f ca="1">J28&amp;"合计："</f>
        <v>10KV高压合计：</v>
      </c>
      <c r="B28" s="407"/>
      <c r="C28" s="407"/>
      <c r="D28" s="408"/>
      <c r="E28" s="409" t="str">
        <f ca="1">SUM(F8:F27)&amp;"台"</f>
        <v>13台</v>
      </c>
      <c r="F28" s="410"/>
      <c r="G28" s="411">
        <f ca="1">SUM(H8:H27)</f>
        <v>284139</v>
      </c>
      <c r="H28" s="412"/>
      <c r="I28" s="413"/>
      <c r="J28" s="126" t="str">
        <f t="shared" ca="1" si="8"/>
        <v>10KV高压</v>
      </c>
      <c r="K28" s="130"/>
      <c r="L28" s="414" t="s">
        <v>2624</v>
      </c>
      <c r="M28" s="415"/>
      <c r="N28" s="415"/>
    </row>
    <row r="29" spans="1:14" ht="12" customHeight="1" x14ac:dyDescent="0.15">
      <c r="A29" s="400"/>
      <c r="B29" s="400"/>
      <c r="C29" s="400"/>
      <c r="D29" s="400"/>
      <c r="E29" s="400"/>
      <c r="F29" s="400"/>
      <c r="G29" s="400"/>
      <c r="H29" s="400"/>
      <c r="I29" s="400"/>
      <c r="J29" s="126" t="str">
        <f t="shared" ca="1" si="8"/>
        <v>10KV高压</v>
      </c>
      <c r="L29" s="317"/>
      <c r="M29" s="317"/>
      <c r="N29" s="317"/>
    </row>
    <row r="30" spans="1:14" ht="21" customHeight="1" x14ac:dyDescent="0.15">
      <c r="A30" s="406" t="s">
        <v>244</v>
      </c>
      <c r="B30" s="407"/>
      <c r="C30" s="408"/>
      <c r="D30" s="409" t="str">
        <f ca="1">SUM(F$7:F29)&amp;"台/套"</f>
        <v>13台/套</v>
      </c>
      <c r="E30" s="426"/>
      <c r="F30" s="410"/>
      <c r="G30" s="411">
        <f ca="1">SUM(H$7:H29)</f>
        <v>284139</v>
      </c>
      <c r="H30" s="412"/>
      <c r="I30" s="413"/>
      <c r="J30" s="126" t="str">
        <f t="shared" ca="1" si="8"/>
        <v>10KV高压</v>
      </c>
      <c r="L30" s="399" t="s">
        <v>2625</v>
      </c>
      <c r="M30" s="399"/>
      <c r="N30" s="399"/>
    </row>
    <row r="31" spans="1:14" ht="21" customHeight="1" x14ac:dyDescent="0.15">
      <c r="A31" s="406" t="s">
        <v>245</v>
      </c>
      <c r="B31" s="407"/>
      <c r="C31" s="408"/>
      <c r="D31" s="427" t="str">
        <f ca="1">SUBSTITUTE(SUBSTITUTE(IF(G30&gt;-0.5%,,"负")&amp;TEXT(INT(FIXED(ABS(G30))),"[dbnum2]G/通用格式元;;")&amp;TEXT(RIGHT(FIXED(G30),2),"[dbnum2]0角0分;;"&amp;IF(ABS(G30)&gt;1%,"整",)),"零角",IF(ABS(G30)&lt;1,,"零")),"零分","整")</f>
        <v>贰拾捌万肆仟壹佰叁拾玖元整</v>
      </c>
      <c r="E31" s="428"/>
      <c r="F31" s="428"/>
      <c r="G31" s="428"/>
      <c r="H31" s="428"/>
      <c r="I31" s="429"/>
      <c r="J31" s="126"/>
    </row>
    <row r="32" spans="1:14" s="30" customFormat="1" ht="18.95" customHeight="1" x14ac:dyDescent="0.2">
      <c r="A32" s="424" t="s">
        <v>2173</v>
      </c>
      <c r="B32" s="425" t="s">
        <v>2632</v>
      </c>
      <c r="C32" s="425"/>
      <c r="D32" s="425"/>
      <c r="E32" s="425"/>
      <c r="F32" s="425"/>
      <c r="G32" s="425"/>
      <c r="H32" s="425"/>
      <c r="I32" s="425"/>
      <c r="J32" s="136" t="s">
        <v>2146</v>
      </c>
      <c r="K32" s="137"/>
      <c r="L32" s="138"/>
      <c r="M32" s="138"/>
      <c r="N32" s="138"/>
    </row>
    <row r="33" spans="1:14" s="30" customFormat="1" ht="18.95" customHeight="1" x14ac:dyDescent="0.2">
      <c r="A33" s="424"/>
      <c r="B33" s="425"/>
      <c r="C33" s="425"/>
      <c r="D33" s="425"/>
      <c r="E33" s="425"/>
      <c r="F33" s="425"/>
      <c r="G33" s="425"/>
      <c r="H33" s="425"/>
      <c r="I33" s="425"/>
      <c r="J33" s="136"/>
      <c r="K33" s="137"/>
      <c r="L33" s="138"/>
      <c r="M33" s="138"/>
      <c r="N33" s="138"/>
    </row>
    <row r="34" spans="1:14" s="30" customFormat="1" ht="18.95" customHeight="1" x14ac:dyDescent="0.2">
      <c r="A34" s="424"/>
      <c r="B34" s="425"/>
      <c r="C34" s="425"/>
      <c r="D34" s="425"/>
      <c r="E34" s="425"/>
      <c r="F34" s="425"/>
      <c r="G34" s="425"/>
      <c r="H34" s="425"/>
      <c r="I34" s="425"/>
      <c r="J34" s="136"/>
      <c r="K34" s="137"/>
      <c r="L34" s="138"/>
      <c r="M34" s="138"/>
      <c r="N34" s="138"/>
    </row>
    <row r="35" spans="1:14" s="30" customFormat="1" ht="18.95" customHeight="1" x14ac:dyDescent="0.2">
      <c r="A35" s="424"/>
      <c r="B35" s="425"/>
      <c r="C35" s="425"/>
      <c r="D35" s="425"/>
      <c r="E35" s="425"/>
      <c r="F35" s="425"/>
      <c r="G35" s="425"/>
      <c r="H35" s="425"/>
      <c r="I35" s="425"/>
      <c r="J35" s="136"/>
      <c r="K35" s="137"/>
      <c r="L35" s="138"/>
      <c r="M35" s="138"/>
      <c r="N35" s="138"/>
    </row>
    <row r="36" spans="1:14" s="30" customFormat="1" ht="18.95" customHeight="1" x14ac:dyDescent="0.2">
      <c r="A36" s="424"/>
      <c r="B36" s="425"/>
      <c r="C36" s="425"/>
      <c r="D36" s="425"/>
      <c r="E36" s="425"/>
      <c r="F36" s="425"/>
      <c r="G36" s="425"/>
      <c r="H36" s="425"/>
      <c r="I36" s="425"/>
      <c r="J36" s="136"/>
      <c r="K36" s="137"/>
      <c r="L36" s="138"/>
      <c r="M36" s="138"/>
      <c r="N36" s="138"/>
    </row>
    <row r="37" spans="1:14" s="30" customFormat="1" ht="18.95" customHeight="1" x14ac:dyDescent="0.2">
      <c r="A37" s="424"/>
      <c r="B37" s="425"/>
      <c r="C37" s="425"/>
      <c r="D37" s="425"/>
      <c r="E37" s="425"/>
      <c r="F37" s="425"/>
      <c r="G37" s="425"/>
      <c r="H37" s="425"/>
      <c r="I37" s="425"/>
      <c r="J37" s="136"/>
      <c r="K37" s="137"/>
      <c r="L37" s="138"/>
      <c r="M37" s="138"/>
      <c r="N37" s="138"/>
    </row>
    <row r="38" spans="1:14" s="214" customFormat="1" ht="18.95" customHeight="1" x14ac:dyDescent="0.2">
      <c r="A38" s="420" t="s">
        <v>247</v>
      </c>
      <c r="B38" s="420"/>
      <c r="C38" s="420"/>
      <c r="D38" s="421" t="s">
        <v>3234</v>
      </c>
      <c r="E38" s="421"/>
      <c r="F38" s="421"/>
      <c r="G38" s="421"/>
      <c r="H38" s="421"/>
      <c r="I38" s="421"/>
      <c r="J38" s="332"/>
      <c r="K38" s="333"/>
    </row>
    <row r="39" spans="1:14" s="214" customFormat="1" ht="18.95" customHeight="1" x14ac:dyDescent="0.2">
      <c r="A39" s="419" t="s">
        <v>3235</v>
      </c>
      <c r="B39" s="419"/>
      <c r="C39" s="419"/>
      <c r="D39" s="419" t="s">
        <v>3236</v>
      </c>
      <c r="E39" s="419"/>
      <c r="F39" s="419"/>
      <c r="G39" s="419" t="s">
        <v>3237</v>
      </c>
      <c r="H39" s="419"/>
      <c r="I39" s="419"/>
      <c r="J39" s="332"/>
      <c r="K39" s="333"/>
    </row>
    <row r="40" spans="1:14" s="214" customFormat="1" ht="18.95" customHeight="1" x14ac:dyDescent="0.2">
      <c r="A40" s="423" t="s">
        <v>3238</v>
      </c>
      <c r="B40" s="423"/>
      <c r="C40" s="423"/>
      <c r="D40" s="423" t="s">
        <v>3239</v>
      </c>
      <c r="E40" s="423"/>
      <c r="F40" s="423"/>
      <c r="G40" s="422" t="s">
        <v>3240</v>
      </c>
      <c r="H40" s="422"/>
      <c r="I40" s="422"/>
      <c r="J40" s="332"/>
      <c r="K40" s="333"/>
    </row>
    <row r="41" spans="1:14" s="214" customFormat="1" ht="21.75" customHeight="1" x14ac:dyDescent="0.2">
      <c r="A41" s="417" t="s">
        <v>3241</v>
      </c>
      <c r="B41" s="418"/>
      <c r="C41" s="418"/>
      <c r="D41" s="418"/>
      <c r="E41" s="418"/>
      <c r="F41" s="418"/>
      <c r="G41" s="418"/>
      <c r="H41" s="418"/>
      <c r="I41" s="418"/>
      <c r="J41" s="332"/>
      <c r="K41" s="333"/>
    </row>
    <row r="42" spans="1:14" ht="18" customHeight="1" x14ac:dyDescent="0.15"/>
    <row r="43" spans="1:14" ht="18" customHeight="1" x14ac:dyDescent="0.15"/>
    <row r="44" spans="1:14" ht="18" customHeight="1" x14ac:dyDescent="0.15"/>
    <row r="45" spans="1:14" ht="18" customHeight="1" x14ac:dyDescent="0.15"/>
    <row r="46" spans="1:14" ht="18" customHeight="1" x14ac:dyDescent="0.15"/>
    <row r="47" spans="1:14" ht="18" customHeight="1" x14ac:dyDescent="0.15"/>
    <row r="48" spans="1:14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</sheetData>
  <autoFilter ref="A7:I41"/>
  <mergeCells count="39">
    <mergeCell ref="A32:A37"/>
    <mergeCell ref="B32:I37"/>
    <mergeCell ref="G39:I39"/>
    <mergeCell ref="A30:C30"/>
    <mergeCell ref="D30:F30"/>
    <mergeCell ref="G30:I30"/>
    <mergeCell ref="A31:C31"/>
    <mergeCell ref="D31:I31"/>
    <mergeCell ref="A41:I41"/>
    <mergeCell ref="D39:F39"/>
    <mergeCell ref="A39:C39"/>
    <mergeCell ref="A38:C38"/>
    <mergeCell ref="D38:I38"/>
    <mergeCell ref="G40:I40"/>
    <mergeCell ref="A40:C40"/>
    <mergeCell ref="D40:F40"/>
    <mergeCell ref="L30:N30"/>
    <mergeCell ref="A29:I29"/>
    <mergeCell ref="A1:I1"/>
    <mergeCell ref="E3:F3"/>
    <mergeCell ref="G3:I3"/>
    <mergeCell ref="E4:F4"/>
    <mergeCell ref="G4:I4"/>
    <mergeCell ref="E5:F5"/>
    <mergeCell ref="G5:I5"/>
    <mergeCell ref="A8:B8"/>
    <mergeCell ref="A27:I27"/>
    <mergeCell ref="A28:D28"/>
    <mergeCell ref="E28:F28"/>
    <mergeCell ref="G28:I28"/>
    <mergeCell ref="L28:N28"/>
    <mergeCell ref="L4:N4"/>
    <mergeCell ref="A5:D5"/>
    <mergeCell ref="A6:I6"/>
    <mergeCell ref="A2:D2"/>
    <mergeCell ref="E2:F2"/>
    <mergeCell ref="G2:I2"/>
    <mergeCell ref="A3:D3"/>
    <mergeCell ref="A4:D4"/>
  </mergeCells>
  <phoneticPr fontId="25" type="noConversion"/>
  <conditionalFormatting sqref="K27">
    <cfRule type="expression" priority="5">
      <formula>INDIRECT("b"&amp;ROW()-1)&lt;&gt;""</formula>
    </cfRule>
  </conditionalFormatting>
  <conditionalFormatting sqref="L28:N28">
    <cfRule type="expression" dxfId="8" priority="1">
      <formula>INDIRECT("b"&amp;ROW()-2)&lt;&gt;""</formula>
    </cfRule>
  </conditionalFormatting>
  <conditionalFormatting sqref="L30">
    <cfRule type="expression" dxfId="7" priority="2">
      <formula>(_xlfn.SHEETS()-COUNTIF(A$7:A29,1))&gt;2</formula>
    </cfRule>
  </conditionalFormatting>
  <dataValidations count="1">
    <dataValidation type="whole" allowBlank="1" showInputMessage="1" showErrorMessage="1" error="在“设备报价表”中更改" sqref="M2">
      <formula1>1</formula1>
      <formula2>1</formula2>
    </dataValidation>
  </dataValidations>
  <hyperlinks>
    <hyperlink ref="A41" r:id="rId1"/>
  </hyperlinks>
  <pageMargins left="0.39370078740157483" right="0.39370078740157483" top="0.59055118110236227" bottom="0.59055118110236227" header="0.31496062992125984" footer="0.31496062992125984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1"/>
  <dimension ref="A1:S207"/>
  <sheetViews>
    <sheetView showZeros="0" workbookViewId="0">
      <selection activeCell="C12" sqref="C12"/>
    </sheetView>
  </sheetViews>
  <sheetFormatPr defaultColWidth="9" defaultRowHeight="12" x14ac:dyDescent="0.15"/>
  <cols>
    <col min="1" max="1" width="4.125" style="316" customWidth="1"/>
    <col min="2" max="2" width="12.625" style="316" customWidth="1"/>
    <col min="3" max="3" width="20.125" style="316" customWidth="1"/>
    <col min="4" max="4" width="12.625" style="316" customWidth="1"/>
    <col min="5" max="5" width="4.125" style="316" customWidth="1"/>
    <col min="6" max="6" width="5.125" style="316" customWidth="1"/>
    <col min="7" max="8" width="10.125" style="316" customWidth="1"/>
    <col min="9" max="9" width="14.125" style="316" customWidth="1"/>
    <col min="10" max="10" width="11.375" style="315" bestFit="1" customWidth="1"/>
    <col min="11" max="11" width="10.75" style="316" customWidth="1"/>
    <col min="12" max="12" width="12.875" style="317" customWidth="1"/>
    <col min="13" max="13" width="7.125" style="317" customWidth="1"/>
    <col min="14" max="14" width="9" style="317"/>
    <col min="15" max="16384" width="9" style="316"/>
  </cols>
  <sheetData>
    <row r="1" spans="1:19" s="309" customFormat="1" ht="71.25" customHeight="1" x14ac:dyDescent="0.2">
      <c r="A1" s="401" t="s">
        <v>3252</v>
      </c>
      <c r="B1" s="401"/>
      <c r="C1" s="401"/>
      <c r="D1" s="401"/>
      <c r="E1" s="401"/>
      <c r="F1" s="401"/>
      <c r="G1" s="401"/>
      <c r="H1" s="401"/>
      <c r="I1" s="401"/>
      <c r="J1" s="369"/>
      <c r="K1" s="369"/>
      <c r="L1" s="369"/>
      <c r="M1" s="369"/>
      <c r="N1" s="369"/>
      <c r="O1" s="369"/>
      <c r="P1" s="369"/>
      <c r="Q1" s="369"/>
      <c r="R1" s="369"/>
      <c r="S1" s="369"/>
    </row>
    <row r="2" spans="1:19" s="309" customFormat="1" ht="18.95" customHeight="1" x14ac:dyDescent="0.2">
      <c r="A2" s="395" t="s">
        <v>2343</v>
      </c>
      <c r="B2" s="395"/>
      <c r="C2" s="395"/>
      <c r="D2" s="395"/>
      <c r="E2" s="396" t="s">
        <v>240</v>
      </c>
      <c r="F2" s="396"/>
      <c r="G2" s="397" t="str">
        <f ca="1">"ENJ"&amp;TEXT(G3,"emmdd")&amp;SUM(F7:F35)&amp;L3&amp;"0001"</f>
        <v>ENJ20181210170001</v>
      </c>
      <c r="H2" s="397"/>
      <c r="I2" s="397"/>
      <c r="J2" s="308"/>
      <c r="L2" s="370"/>
      <c r="M2" s="214"/>
      <c r="N2" s="214"/>
    </row>
    <row r="3" spans="1:19" s="312" customFormat="1" ht="18.95" customHeight="1" x14ac:dyDescent="0.2">
      <c r="A3" s="398" t="s">
        <v>239</v>
      </c>
      <c r="B3" s="398"/>
      <c r="C3" s="398"/>
      <c r="D3" s="398"/>
      <c r="E3" s="396" t="s">
        <v>242</v>
      </c>
      <c r="F3" s="396"/>
      <c r="G3" s="402">
        <v>43444</v>
      </c>
      <c r="H3" s="402"/>
      <c r="I3" s="402"/>
      <c r="J3" s="311" t="s">
        <v>248</v>
      </c>
      <c r="L3" s="371"/>
      <c r="M3" s="313"/>
      <c r="N3" s="313"/>
    </row>
    <row r="4" spans="1:19" s="312" customFormat="1" ht="18.95" customHeight="1" x14ac:dyDescent="0.2">
      <c r="A4" s="398" t="s">
        <v>241</v>
      </c>
      <c r="B4" s="398"/>
      <c r="C4" s="398"/>
      <c r="D4" s="398"/>
      <c r="E4" s="403" t="s">
        <v>3232</v>
      </c>
      <c r="F4" s="403"/>
      <c r="G4" s="404" t="s">
        <v>243</v>
      </c>
      <c r="H4" s="404"/>
      <c r="I4" s="404"/>
      <c r="J4" s="314"/>
      <c r="L4" s="416">
        <f ca="1">TODAY()</f>
        <v>43472</v>
      </c>
      <c r="M4" s="416"/>
      <c r="N4" s="416"/>
    </row>
    <row r="5" spans="1:19" ht="18.95" customHeight="1" x14ac:dyDescent="0.15">
      <c r="A5" s="394" t="s">
        <v>3233</v>
      </c>
      <c r="B5" s="394"/>
      <c r="C5" s="394"/>
      <c r="D5" s="394"/>
      <c r="E5" s="403"/>
      <c r="F5" s="403"/>
      <c r="G5" s="404"/>
      <c r="H5" s="404"/>
      <c r="I5" s="404"/>
    </row>
    <row r="6" spans="1:19" ht="18.95" customHeight="1" x14ac:dyDescent="0.15">
      <c r="A6" s="394" t="s">
        <v>3244</v>
      </c>
      <c r="B6" s="394"/>
      <c r="C6" s="394"/>
      <c r="D6" s="394"/>
      <c r="E6" s="394"/>
      <c r="F6" s="394"/>
      <c r="G6" s="394"/>
      <c r="H6" s="394"/>
      <c r="I6" s="394"/>
    </row>
    <row r="7" spans="1:19" s="23" customFormat="1" ht="18.95" customHeight="1" x14ac:dyDescent="0.2">
      <c r="A7" s="373" t="s">
        <v>8</v>
      </c>
      <c r="B7" s="374" t="s">
        <v>9</v>
      </c>
      <c r="C7" s="376" t="s">
        <v>3245</v>
      </c>
      <c r="D7" s="374" t="s">
        <v>3246</v>
      </c>
      <c r="E7" s="374" t="s">
        <v>13</v>
      </c>
      <c r="F7" s="374" t="s">
        <v>14</v>
      </c>
      <c r="G7" s="375" t="s">
        <v>77</v>
      </c>
      <c r="H7" s="375" t="s">
        <v>78</v>
      </c>
      <c r="I7" s="374" t="s">
        <v>17</v>
      </c>
      <c r="J7" s="131"/>
      <c r="K7" s="132"/>
    </row>
    <row r="8" spans="1:19" s="312" customFormat="1" ht="24" customHeight="1" x14ac:dyDescent="0.2">
      <c r="A8" s="447" t="s">
        <v>2338</v>
      </c>
      <c r="B8" s="447"/>
      <c r="C8" s="320"/>
      <c r="D8" s="320"/>
      <c r="E8" s="321"/>
      <c r="F8" s="321"/>
      <c r="J8" s="314" t="str">
        <f>IF(ISNUMBER(FIND("配电柜",A8)),LEFT(A8,LEN(A8)-3),A8)</f>
        <v>预装式变电站</v>
      </c>
      <c r="L8" s="313"/>
      <c r="M8" s="313"/>
      <c r="N8" s="313"/>
    </row>
    <row r="9" spans="1:19" ht="18.95" customHeight="1" x14ac:dyDescent="0.15">
      <c r="A9" s="322">
        <f ca="1">COUNTIF(J$8:J9,J9)-1</f>
        <v>1</v>
      </c>
      <c r="B9" s="323" t="str">
        <f ca="1">IF(D9="","",J9)</f>
        <v>预装式变电站</v>
      </c>
      <c r="C9" s="323" t="str">
        <f ca="1">IF(D9="","",LOOKUP(0,0/((D$65:D252=D9)*(B$65:B252="箱体及辅助材料")*(J$65:J252=J9)),C$65:C252))</f>
        <v>YBP:630KVA 10/0.4</v>
      </c>
      <c r="D9" s="323" t="s">
        <v>2339</v>
      </c>
      <c r="E9" s="324" t="str">
        <f>IF(D9="","","台")</f>
        <v>台</v>
      </c>
      <c r="F9" s="325">
        <f ca="1">IF(D9="","",LOOKUP(0,0/((D$65:D252=D9)*(B$65:B252="箱体及辅助材料")*(J$65:J252=J9)),F$65:F250))</f>
        <v>1</v>
      </c>
      <c r="G9" s="326">
        <f ca="1">IF(D9="","",SUMIFS(H$65:H252,D$65:D252,D9,J$65:J252,J9))</f>
        <v>115964</v>
      </c>
      <c r="H9" s="327">
        <f ca="1">IF(D9="","",IFERROR(F9*G9,""))</f>
        <v>115964</v>
      </c>
      <c r="I9" s="326" t="str">
        <f ca="1">IF(D9="","",LOOKUP(0,0/((D$65:D252=D9)*(B$65:B252="箱体及辅助材料")*(J$65:J252=J9)),I$65:I252))</f>
        <v>4000*2300*2650</v>
      </c>
      <c r="J9" s="314" t="str">
        <f t="shared" ref="J9:J20" ca="1" si="0">INDIRECT("J"&amp;ROW()-1)</f>
        <v>预装式变电站</v>
      </c>
      <c r="K9" s="328"/>
    </row>
    <row r="10" spans="1:19" ht="18.95" customHeight="1" x14ac:dyDescent="0.15">
      <c r="A10" s="322">
        <f ca="1">COUNTIF(J$8:J10,J10)-1</f>
        <v>2</v>
      </c>
      <c r="B10" s="323" t="str">
        <f t="shared" ref="B10:B12" ca="1" si="1">IF(D10="","",J10)</f>
        <v>预装式变电站</v>
      </c>
      <c r="C10" s="323" t="str">
        <f ca="1">IF(D10="","",LOOKUP(0,0/((D$65:D253=D10)*(B$65:B253="箱体及辅助材料")*(J$65:J253=J10)),C$65:C253))</f>
        <v>YBP:400KVA 10/0.4</v>
      </c>
      <c r="D10" s="323" t="s">
        <v>2335</v>
      </c>
      <c r="E10" s="324" t="str">
        <f t="shared" ref="E10:E12" si="2">IF(D10="","","台")</f>
        <v>台</v>
      </c>
      <c r="F10" s="325">
        <f ca="1">IF(D10="","",LOOKUP(0,0/((D$65:D253=D10)*(B$65:B253="箱体及辅助材料")*(J$65:J253=J10)),F$65:F251))</f>
        <v>1</v>
      </c>
      <c r="G10" s="326">
        <f ca="1">IF(D10="","",SUMIFS(H$65:H253,D$65:D253,D10,J$65:J253,J10))</f>
        <v>90694</v>
      </c>
      <c r="H10" s="327">
        <f t="shared" ref="H10:H12" ca="1" si="3">IF(D10="","",IFERROR(F10*G10,""))</f>
        <v>90694</v>
      </c>
      <c r="I10" s="326" t="str">
        <f ca="1">IF(D10="","",LOOKUP(0,0/((D$65:D253=D10)*(B$65:B253="箱体及辅助材料")*(J$65:J253=J10)),I$65:I253))</f>
        <v>3300*2200*2650</v>
      </c>
      <c r="J10" s="314" t="str">
        <f t="shared" ca="1" si="0"/>
        <v>预装式变电站</v>
      </c>
      <c r="K10" s="328"/>
    </row>
    <row r="11" spans="1:19" ht="18.95" customHeight="1" x14ac:dyDescent="0.15">
      <c r="A11" s="322">
        <f ca="1">COUNTIF(J$8:J11,J11)-1</f>
        <v>3</v>
      </c>
      <c r="B11" s="323" t="str">
        <f t="shared" ca="1" si="1"/>
        <v>预装式变电站</v>
      </c>
      <c r="C11" s="323" t="str">
        <f ca="1">IF(D11="","",LOOKUP(0,0/((D$65:D254=D11)*(B$65:B254="箱体及辅助材料")*(J$65:J254=J11)),C$65:C254))</f>
        <v>YBP:630KVA 10/0.4</v>
      </c>
      <c r="D11" s="323" t="s">
        <v>2336</v>
      </c>
      <c r="E11" s="324" t="str">
        <f t="shared" si="2"/>
        <v>台</v>
      </c>
      <c r="F11" s="325">
        <f ca="1">IF(D11="","",LOOKUP(0,0/((D$65:D254=D11)*(B$65:B254="箱体及辅助材料")*(J$65:J254=J11)),F$65:F252))</f>
        <v>1</v>
      </c>
      <c r="G11" s="326">
        <f ca="1">IF(D11="","",SUMIFS(H$65:H254,D$65:D254,D11,J$65:J254,J11))</f>
        <v>123576</v>
      </c>
      <c r="H11" s="327">
        <f t="shared" ca="1" si="3"/>
        <v>123576</v>
      </c>
      <c r="I11" s="326" t="str">
        <f ca="1">IF(D11="","",LOOKUP(0,0/((D$65:D254=D11)*(B$65:B254="箱体及辅助材料")*(J$65:J254=J11)),I$65:I254))</f>
        <v>4400*2300*2650</v>
      </c>
      <c r="J11" s="314" t="str">
        <f t="shared" ca="1" si="0"/>
        <v>预装式变电站</v>
      </c>
      <c r="K11" s="328"/>
    </row>
    <row r="12" spans="1:19" ht="18.95" customHeight="1" x14ac:dyDescent="0.15">
      <c r="A12" s="322">
        <f ca="1">COUNTIF(J$8:J12,J12)-1</f>
        <v>4</v>
      </c>
      <c r="B12" s="323" t="str">
        <f t="shared" si="1"/>
        <v/>
      </c>
      <c r="C12" s="323" t="str">
        <f>IF(D12="","",LOOKUP(0,0/((D$65:D255=D12)*(B$65:B255="箱体及辅助材料")*(J$65:J255=J12)),C$65:C255))</f>
        <v/>
      </c>
      <c r="D12" s="323"/>
      <c r="E12" s="324" t="str">
        <f t="shared" si="2"/>
        <v/>
      </c>
      <c r="F12" s="325" t="str">
        <f>IF(D12="","",LOOKUP(0,0/((D$65:D255=D12)*(B$65:B255="箱体及辅助材料")*(J$65:J255=J12)),F$65:F253))</f>
        <v/>
      </c>
      <c r="G12" s="326" t="str">
        <f>IF(D12="","",SUMIFS(H$65:H255,D$65:D255,D12,J$65:J255,J12))</f>
        <v/>
      </c>
      <c r="H12" s="327" t="str">
        <f t="shared" si="3"/>
        <v/>
      </c>
      <c r="I12" s="326" t="str">
        <f>IF(D12="","",LOOKUP(0,0/((D$65:D255=D12)*(B$65:B255="箱体及辅助材料")*(J$65:J255=J12)),I$65:I255))</f>
        <v/>
      </c>
      <c r="J12" s="314" t="str">
        <f t="shared" ca="1" si="0"/>
        <v>预装式变电站</v>
      </c>
      <c r="K12" s="328"/>
    </row>
    <row r="13" spans="1:19" ht="12" customHeight="1" x14ac:dyDescent="0.15">
      <c r="A13" s="457"/>
      <c r="B13" s="458"/>
      <c r="C13" s="458"/>
      <c r="D13" s="458"/>
      <c r="E13" s="458"/>
      <c r="F13" s="458"/>
      <c r="G13" s="458"/>
      <c r="H13" s="458"/>
      <c r="I13" s="459"/>
      <c r="J13" s="314" t="str">
        <f t="shared" ca="1" si="0"/>
        <v>预装式变电站</v>
      </c>
    </row>
    <row r="14" spans="1:19" ht="18.95" customHeight="1" x14ac:dyDescent="0.15">
      <c r="A14" s="451" t="str">
        <f ca="1">J14&amp;"合计："</f>
        <v>预装式变电站合计：</v>
      </c>
      <c r="B14" s="452"/>
      <c r="C14" s="452"/>
      <c r="D14" s="453"/>
      <c r="E14" s="454" t="str">
        <f ca="1">SUM(F8:F13)&amp;"台"</f>
        <v>3台</v>
      </c>
      <c r="F14" s="455"/>
      <c r="G14" s="445">
        <f ca="1">SUM(H8:H13)</f>
        <v>330234</v>
      </c>
      <c r="H14" s="445"/>
      <c r="I14" s="445"/>
      <c r="J14" s="314" t="str">
        <f t="shared" ca="1" si="0"/>
        <v>预装式变电站</v>
      </c>
      <c r="L14" s="414" t="s">
        <v>2624</v>
      </c>
      <c r="M14" s="415"/>
      <c r="N14" s="415"/>
    </row>
    <row r="15" spans="1:19" s="312" customFormat="1" ht="24" customHeight="1" x14ac:dyDescent="0.2">
      <c r="A15" s="447" t="s">
        <v>2340</v>
      </c>
      <c r="B15" s="447"/>
      <c r="C15" s="320"/>
      <c r="D15" s="320"/>
      <c r="E15" s="321"/>
      <c r="F15" s="321"/>
      <c r="J15" s="314" t="str">
        <f>IF(ISNUMBER(FIND("配电柜",A15)),LEFT(A15,LEN(A15)-3),A15)</f>
        <v>高压开闭所</v>
      </c>
      <c r="L15" s="313"/>
      <c r="M15" s="313"/>
      <c r="N15" s="313"/>
    </row>
    <row r="16" spans="1:19" ht="18.95" customHeight="1" x14ac:dyDescent="0.15">
      <c r="A16" s="322">
        <f ca="1">COUNTIF(J$8:J16,J16)-1</f>
        <v>1</v>
      </c>
      <c r="B16" s="323" t="str">
        <f ca="1">IF(D16="","",J16)</f>
        <v>高压开闭所</v>
      </c>
      <c r="C16" s="323" t="str">
        <f ca="1">IF(D16="","",LOOKUP(0,0/((D$65:D260=D16)*(B$65:B260="箱体及辅助材料")*(J$65:J260=J16)),C$65:C260))</f>
        <v>DFW:一进两出</v>
      </c>
      <c r="D16" s="323" t="s">
        <v>2339</v>
      </c>
      <c r="E16" s="324" t="str">
        <f>IF(D16="","","台")</f>
        <v>台</v>
      </c>
      <c r="F16" s="325">
        <f ca="1">IF(D16="","",LOOKUP(0,0/((D$65:D259=D16)*(B$65:B259="箱体及辅助材料")*(J$65:J259=J16)),F$65:F257))</f>
        <v>1</v>
      </c>
      <c r="G16" s="326">
        <f ca="1">IF(D16="","",SUMIFS(H$65:H260,D$65:D260,D16,J$65:J260,J16))</f>
        <v>51464</v>
      </c>
      <c r="H16" s="327">
        <f ca="1">IF(D16="","",IFERROR(F16*G16,""))</f>
        <v>51464</v>
      </c>
      <c r="I16" s="326" t="str">
        <f ca="1">IF(D16="","",LOOKUP(0,0/((D$65:D260=D16)*(B$65:B260="箱体及辅助材料")*(J$65:J260=J16)),I$65:I260))</f>
        <v>3200*1500*2650</v>
      </c>
      <c r="J16" s="314" t="str">
        <f t="shared" ca="1" si="0"/>
        <v>高压开闭所</v>
      </c>
      <c r="K16" s="328"/>
    </row>
    <row r="17" spans="1:14" ht="18.95" customHeight="1" x14ac:dyDescent="0.15">
      <c r="A17" s="322">
        <f ca="1">COUNTIF(J$8:J17,J17)-1</f>
        <v>2</v>
      </c>
      <c r="B17" s="323" t="str">
        <f t="shared" ref="B17:B18" si="4">IF(D17="","",J17)</f>
        <v/>
      </c>
      <c r="C17" s="323" t="str">
        <f>IF(D17="","",LOOKUP(0,0/((D$65:D261=D17)*(B$65:B261="箱体及辅助材料")*(J$65:J261=J17)),C$65:C261))</f>
        <v/>
      </c>
      <c r="D17" s="323"/>
      <c r="E17" s="324" t="str">
        <f>IF(D17="","","台")</f>
        <v/>
      </c>
      <c r="F17" s="325" t="str">
        <f>IF(D17="","",LOOKUP(0,0/((D$65:D261=D17)*(B$65:B261="箱体及辅助材料")*(J$65:J261=J17)),F$65:F259))</f>
        <v/>
      </c>
      <c r="G17" s="326" t="str">
        <f>IF(D17="","",SUMIFS(H$65:H261,D$65:D261,D17,J$65:J261,J17))</f>
        <v/>
      </c>
      <c r="H17" s="327" t="str">
        <f>IF(D17="","",IFERROR(F17*G17,""))</f>
        <v/>
      </c>
      <c r="I17" s="326" t="str">
        <f>IF(D17="","",LOOKUP(0,0/((D$65:D261=D17)*(B$65:B261="箱体及辅助材料")*(J$65:J261=J17)),I$65:I261))</f>
        <v/>
      </c>
      <c r="J17" s="314" t="str">
        <f t="shared" ca="1" si="0"/>
        <v>高压开闭所</v>
      </c>
      <c r="K17" s="328"/>
    </row>
    <row r="18" spans="1:14" ht="18.95" customHeight="1" x14ac:dyDescent="0.15">
      <c r="A18" s="322">
        <f ca="1">COUNTIF(J$8:J18,J18)-1</f>
        <v>3</v>
      </c>
      <c r="B18" s="323" t="str">
        <f t="shared" si="4"/>
        <v/>
      </c>
      <c r="C18" s="323" t="str">
        <f>IF(D18="","",LOOKUP(0,0/((D$65:D262=D18)*(B$65:B262="箱体及辅助材料")*(J$65:J262=J18)),C$65:C262))</f>
        <v/>
      </c>
      <c r="D18" s="323"/>
      <c r="E18" s="324" t="str">
        <f>IF(D18="","","台")</f>
        <v/>
      </c>
      <c r="F18" s="325" t="str">
        <f>IF(D18="","",LOOKUP(0,0/((D$65:D262=D18)*(B$65:B262="箱体及辅助材料")*(J$65:J262=J18)),F$65:F260))</f>
        <v/>
      </c>
      <c r="G18" s="326" t="str">
        <f>IF(D18="","",SUMIFS(H$65:H262,D$65:D262,D18,J$65:J262,J18))</f>
        <v/>
      </c>
      <c r="H18" s="327" t="str">
        <f>IF(D18="","",IFERROR(F18*G18,""))</f>
        <v/>
      </c>
      <c r="I18" s="326" t="str">
        <f>IF(D18="","",LOOKUP(0,0/((D$65:D262=D18)*(B$65:B262="箱体及辅助材料")*(J$65:J262=J18)),I$65:I262))</f>
        <v/>
      </c>
      <c r="J18" s="314" t="str">
        <f t="shared" ca="1" si="0"/>
        <v>高压开闭所</v>
      </c>
      <c r="K18" s="328"/>
    </row>
    <row r="19" spans="1:14" ht="12" customHeight="1" x14ac:dyDescent="0.15">
      <c r="A19" s="400"/>
      <c r="B19" s="400"/>
      <c r="C19" s="400"/>
      <c r="D19" s="400"/>
      <c r="E19" s="400"/>
      <c r="F19" s="400"/>
      <c r="G19" s="400"/>
      <c r="H19" s="400"/>
      <c r="I19" s="400"/>
      <c r="J19" s="314" t="str">
        <f t="shared" ca="1" si="0"/>
        <v>高压开闭所</v>
      </c>
    </row>
    <row r="20" spans="1:14" ht="18.95" customHeight="1" x14ac:dyDescent="0.15">
      <c r="A20" s="451" t="str">
        <f ca="1">J20&amp;"合计："</f>
        <v>高压开闭所合计：</v>
      </c>
      <c r="B20" s="452"/>
      <c r="C20" s="452"/>
      <c r="D20" s="453"/>
      <c r="E20" s="454" t="str">
        <f ca="1">SUM(F15:F19)&amp;"台"</f>
        <v>1台</v>
      </c>
      <c r="F20" s="455"/>
      <c r="G20" s="445">
        <f ca="1">SUM(H15:H19)</f>
        <v>51464</v>
      </c>
      <c r="H20" s="445"/>
      <c r="I20" s="445"/>
      <c r="J20" s="314" t="str">
        <f t="shared" ca="1" si="0"/>
        <v>高压开闭所</v>
      </c>
      <c r="L20" s="414" t="s">
        <v>2624</v>
      </c>
      <c r="M20" s="415"/>
      <c r="N20" s="415"/>
    </row>
    <row r="21" spans="1:14" s="127" customFormat="1" ht="24" customHeight="1" x14ac:dyDescent="0.2">
      <c r="A21" s="405" t="s">
        <v>2165</v>
      </c>
      <c r="B21" s="405"/>
      <c r="C21" s="133"/>
      <c r="E21" s="134"/>
      <c r="F21" s="134"/>
      <c r="I21" s="135" t="str">
        <f>IF(A21="变压器","",IF(A21="配电箱","宽*高*深(W*H*D)","宽*深*高(W*D*H)"))</f>
        <v>宽*深*高(W*D*H)</v>
      </c>
      <c r="J21" s="126" t="str">
        <f>IF(ISNUMBER(FIND("开关柜",A21)),LEFT(A21,LEN(A21)-3),A21)</f>
        <v>10KV高压</v>
      </c>
      <c r="K21" s="125"/>
    </row>
    <row r="22" spans="1:14" s="130" customFormat="1" ht="18.95" customHeight="1" x14ac:dyDescent="0.15">
      <c r="A22" s="121">
        <f ca="1">COUNTIF(J$8:J22,J22)-1</f>
        <v>1</v>
      </c>
      <c r="B22" s="122" t="str">
        <f t="shared" ref="B22:B31" ca="1" si="5">IFERROR(VLOOKUP(A22,INDIRECT("'"&amp;J22&amp;"'!A:I"),2,FALSE),"")</f>
        <v>高压进线柜</v>
      </c>
      <c r="C22" s="122" t="str">
        <f t="shared" ref="C22:C31" ca="1" si="6">IFERROR(VLOOKUP(A22,INDIRECT("'"&amp;J22&amp;"'!A:I"),8,FALSE)&amp;":"&amp;VLOOKUP(A22,INDIRECT("'"&amp;J22&amp;"'!A:I"),3,FALSE),"")</f>
        <v>KYN28A:AH1.13</v>
      </c>
      <c r="D22" s="122" t="str">
        <f t="shared" ref="D22:D31" ca="1" si="7">IF(B22="","",IF(VLOOKUP(A22,INDIRECT("'"&amp;J22&amp;"'!A:I"),4,FALSE)="","",IFERROR(VLOOKUP(A22,INDIRECT("'"&amp;J22&amp;"'!A:I"),4,FALSE),"")))</f>
        <v/>
      </c>
      <c r="E22" s="102" t="str">
        <f t="shared" ref="E22:E31" ca="1" si="8">IFERROR(VLOOKUP(A22,INDIRECT("'"&amp;J22&amp;"'!A:I"),5,FALSE),"")</f>
        <v>台</v>
      </c>
      <c r="F22" s="41">
        <f t="shared" ref="F22:F31" ca="1" si="9">IFERROR(VLOOKUP(A22,INDIRECT("'"&amp;J22&amp;"'!A:I"),6,FALSE),"")</f>
        <v>2</v>
      </c>
      <c r="G22" s="123">
        <f t="shared" ref="G22:G31" ca="1" si="10">IFERROR(VLOOKUP(A22,INDIRECT("'"&amp;J22&amp;"'!A:I"),7,FALSE),"")</f>
        <v>25547</v>
      </c>
      <c r="H22" s="124">
        <f t="shared" ref="H22:H31" ca="1" si="11">IFERROR(F22*G22,"")</f>
        <v>51094</v>
      </c>
      <c r="I22" s="123" t="str">
        <f t="shared" ref="I22:I31" ca="1" si="12">IF(B22="","",IF(VLOOKUP(A22,INDIRECT("'"&amp;J22&amp;"'!A:J"),9,FALSE)="","",IFERROR(VLOOKUP(A22,INDIRECT("'"&amp;J22&amp;"'!A:J"),9,FALSE),"")))</f>
        <v>800*1500*2300</v>
      </c>
      <c r="J22" s="126" t="str">
        <f t="shared" ref="J22:J33" ca="1" si="13">INDIRECT("J"&amp;ROW()-1)</f>
        <v>10KV高压</v>
      </c>
      <c r="K22" s="129"/>
    </row>
    <row r="23" spans="1:14" s="130" customFormat="1" ht="18.95" customHeight="1" x14ac:dyDescent="0.15">
      <c r="A23" s="121">
        <f ca="1">COUNTIF(J$8:J23,J23)-1</f>
        <v>2</v>
      </c>
      <c r="B23" s="122" t="str">
        <f t="shared" ca="1" si="5"/>
        <v>高压计量柜</v>
      </c>
      <c r="C23" s="122" t="str">
        <f t="shared" ca="1" si="6"/>
        <v>KYN28A:AH2.12</v>
      </c>
      <c r="D23" s="122" t="str">
        <f t="shared" ca="1" si="7"/>
        <v/>
      </c>
      <c r="E23" s="102" t="str">
        <f t="shared" ca="1" si="8"/>
        <v>台</v>
      </c>
      <c r="F23" s="41">
        <f t="shared" ca="1" si="9"/>
        <v>2</v>
      </c>
      <c r="G23" s="123">
        <f t="shared" ca="1" si="10"/>
        <v>20212</v>
      </c>
      <c r="H23" s="124">
        <f t="shared" ca="1" si="11"/>
        <v>40424</v>
      </c>
      <c r="I23" s="123" t="str">
        <f t="shared" ca="1" si="12"/>
        <v>800*1500*2300</v>
      </c>
      <c r="J23" s="126" t="str">
        <f t="shared" ca="1" si="13"/>
        <v>10KV高压</v>
      </c>
      <c r="K23" s="129"/>
    </row>
    <row r="24" spans="1:14" s="130" customFormat="1" ht="18.95" customHeight="1" x14ac:dyDescent="0.15">
      <c r="A24" s="121">
        <f ca="1">COUNTIF(J$8:J24,J24)-1</f>
        <v>3</v>
      </c>
      <c r="B24" s="122" t="str">
        <f t="shared" ca="1" si="5"/>
        <v>高压PT柜</v>
      </c>
      <c r="C24" s="122" t="str">
        <f t="shared" ca="1" si="6"/>
        <v>KYN28A:AH3.11</v>
      </c>
      <c r="D24" s="122" t="str">
        <f t="shared" ca="1" si="7"/>
        <v/>
      </c>
      <c r="E24" s="102" t="str">
        <f t="shared" ca="1" si="8"/>
        <v>台</v>
      </c>
      <c r="F24" s="41">
        <f t="shared" ca="1" si="9"/>
        <v>2</v>
      </c>
      <c r="G24" s="123">
        <f t="shared" ca="1" si="10"/>
        <v>18785</v>
      </c>
      <c r="H24" s="124">
        <f t="shared" ca="1" si="11"/>
        <v>37570</v>
      </c>
      <c r="I24" s="123" t="str">
        <f t="shared" ca="1" si="12"/>
        <v>800*1500*2300</v>
      </c>
      <c r="J24" s="126" t="str">
        <f t="shared" ca="1" si="13"/>
        <v>10KV高压</v>
      </c>
      <c r="K24" s="129"/>
    </row>
    <row r="25" spans="1:14" s="130" customFormat="1" ht="18.95" customHeight="1" x14ac:dyDescent="0.15">
      <c r="A25" s="121">
        <f ca="1">COUNTIF(J$8:J25,J25)-1</f>
        <v>4</v>
      </c>
      <c r="B25" s="122" t="str">
        <f t="shared" ca="1" si="5"/>
        <v>高压馈线柜</v>
      </c>
      <c r="C25" s="122" t="str">
        <f t="shared" ca="1" si="6"/>
        <v>KYN28A:AH4~6.9.10</v>
      </c>
      <c r="D25" s="122" t="str">
        <f t="shared" ca="1" si="7"/>
        <v/>
      </c>
      <c r="E25" s="102" t="str">
        <f t="shared" ca="1" si="8"/>
        <v>台</v>
      </c>
      <c r="F25" s="41">
        <f t="shared" ca="1" si="9"/>
        <v>5</v>
      </c>
      <c r="G25" s="123">
        <f t="shared" ca="1" si="10"/>
        <v>23047</v>
      </c>
      <c r="H25" s="124">
        <f t="shared" ca="1" si="11"/>
        <v>115235</v>
      </c>
      <c r="I25" s="123" t="str">
        <f t="shared" ca="1" si="12"/>
        <v>800*1500*2300</v>
      </c>
      <c r="J25" s="126" t="str">
        <f t="shared" ca="1" si="13"/>
        <v>10KV高压</v>
      </c>
      <c r="K25" s="129"/>
    </row>
    <row r="26" spans="1:14" s="130" customFormat="1" ht="18.95" customHeight="1" x14ac:dyDescent="0.15">
      <c r="A26" s="121">
        <f ca="1">COUNTIF(J$8:J26,J26)-1</f>
        <v>5</v>
      </c>
      <c r="B26" s="122" t="str">
        <f t="shared" ca="1" si="5"/>
        <v>高压母联柜</v>
      </c>
      <c r="C26" s="122" t="str">
        <f t="shared" ca="1" si="6"/>
        <v>KYN28A:AH7</v>
      </c>
      <c r="D26" s="122" t="str">
        <f t="shared" ca="1" si="7"/>
        <v/>
      </c>
      <c r="E26" s="102" t="str">
        <f t="shared" ca="1" si="8"/>
        <v>台</v>
      </c>
      <c r="F26" s="41">
        <f t="shared" ca="1" si="9"/>
        <v>1</v>
      </c>
      <c r="G26" s="123">
        <f t="shared" ca="1" si="10"/>
        <v>23690</v>
      </c>
      <c r="H26" s="124">
        <f t="shared" ca="1" si="11"/>
        <v>23690</v>
      </c>
      <c r="I26" s="123" t="str">
        <f t="shared" ca="1" si="12"/>
        <v>800*1500*2300</v>
      </c>
      <c r="J26" s="126" t="str">
        <f t="shared" ca="1" si="13"/>
        <v>10KV高压</v>
      </c>
      <c r="K26" s="129"/>
    </row>
    <row r="27" spans="1:14" s="130" customFormat="1" ht="18.95" customHeight="1" x14ac:dyDescent="0.15">
      <c r="A27" s="121">
        <f ca="1">COUNTIF(J$8:J27,J27)-1</f>
        <v>6</v>
      </c>
      <c r="B27" s="122" t="str">
        <f t="shared" ca="1" si="5"/>
        <v>高压隔离柜</v>
      </c>
      <c r="C27" s="122" t="str">
        <f t="shared" ca="1" si="6"/>
        <v>KYN28A:AH8</v>
      </c>
      <c r="D27" s="122" t="str">
        <f t="shared" ca="1" si="7"/>
        <v/>
      </c>
      <c r="E27" s="102" t="str">
        <f t="shared" ca="1" si="8"/>
        <v>台</v>
      </c>
      <c r="F27" s="41">
        <f t="shared" ca="1" si="9"/>
        <v>1</v>
      </c>
      <c r="G27" s="123">
        <f t="shared" ca="1" si="10"/>
        <v>16126</v>
      </c>
      <c r="H27" s="124">
        <f t="shared" ca="1" si="11"/>
        <v>16126</v>
      </c>
      <c r="I27" s="123" t="str">
        <f t="shared" ca="1" si="12"/>
        <v>800*1500*2300</v>
      </c>
      <c r="J27" s="126" t="str">
        <f t="shared" ca="1" si="13"/>
        <v>10KV高压</v>
      </c>
      <c r="K27" s="129"/>
    </row>
    <row r="28" spans="1:14" s="130" customFormat="1" ht="18.95" customHeight="1" x14ac:dyDescent="0.15">
      <c r="A28" s="121">
        <f ca="1">COUNTIF(J$8:J28,J28)-1</f>
        <v>7</v>
      </c>
      <c r="B28" s="122" t="str">
        <f t="shared" ca="1" si="5"/>
        <v/>
      </c>
      <c r="C28" s="122" t="str">
        <f t="shared" ca="1" si="6"/>
        <v/>
      </c>
      <c r="D28" s="122" t="str">
        <f t="shared" ca="1" si="7"/>
        <v/>
      </c>
      <c r="E28" s="102" t="str">
        <f t="shared" ca="1" si="8"/>
        <v/>
      </c>
      <c r="F28" s="41" t="str">
        <f t="shared" ca="1" si="9"/>
        <v/>
      </c>
      <c r="G28" s="123" t="str">
        <f t="shared" ca="1" si="10"/>
        <v/>
      </c>
      <c r="H28" s="124" t="str">
        <f t="shared" ca="1" si="11"/>
        <v/>
      </c>
      <c r="I28" s="123" t="str">
        <f t="shared" ca="1" si="12"/>
        <v/>
      </c>
      <c r="J28" s="126" t="str">
        <f t="shared" ca="1" si="13"/>
        <v>10KV高压</v>
      </c>
      <c r="K28" s="129"/>
    </row>
    <row r="29" spans="1:14" s="130" customFormat="1" ht="18.95" customHeight="1" x14ac:dyDescent="0.15">
      <c r="A29" s="121">
        <f ca="1">COUNTIF(J$8:J29,J29)-1</f>
        <v>8</v>
      </c>
      <c r="B29" s="122" t="str">
        <f t="shared" ca="1" si="5"/>
        <v/>
      </c>
      <c r="C29" s="122" t="str">
        <f t="shared" ca="1" si="6"/>
        <v/>
      </c>
      <c r="D29" s="122" t="str">
        <f t="shared" ca="1" si="7"/>
        <v/>
      </c>
      <c r="E29" s="102" t="str">
        <f t="shared" ca="1" si="8"/>
        <v/>
      </c>
      <c r="F29" s="41" t="str">
        <f t="shared" ca="1" si="9"/>
        <v/>
      </c>
      <c r="G29" s="123" t="str">
        <f t="shared" ca="1" si="10"/>
        <v/>
      </c>
      <c r="H29" s="124" t="str">
        <f t="shared" ca="1" si="11"/>
        <v/>
      </c>
      <c r="I29" s="123" t="str">
        <f t="shared" ca="1" si="12"/>
        <v/>
      </c>
      <c r="J29" s="126" t="str">
        <f t="shared" ca="1" si="13"/>
        <v>10KV高压</v>
      </c>
      <c r="K29" s="129"/>
    </row>
    <row r="30" spans="1:14" s="130" customFormat="1" ht="18.95" customHeight="1" x14ac:dyDescent="0.15">
      <c r="A30" s="121">
        <f ca="1">COUNTIF(J$8:J30,J30)-1</f>
        <v>9</v>
      </c>
      <c r="B30" s="122" t="str">
        <f t="shared" ca="1" si="5"/>
        <v/>
      </c>
      <c r="C30" s="122" t="str">
        <f t="shared" ca="1" si="6"/>
        <v/>
      </c>
      <c r="D30" s="122" t="str">
        <f t="shared" ca="1" si="7"/>
        <v/>
      </c>
      <c r="E30" s="102" t="str">
        <f t="shared" ca="1" si="8"/>
        <v/>
      </c>
      <c r="F30" s="41" t="str">
        <f t="shared" ca="1" si="9"/>
        <v/>
      </c>
      <c r="G30" s="123" t="str">
        <f t="shared" ca="1" si="10"/>
        <v/>
      </c>
      <c r="H30" s="124" t="str">
        <f t="shared" ca="1" si="11"/>
        <v/>
      </c>
      <c r="I30" s="123" t="str">
        <f t="shared" ca="1" si="12"/>
        <v/>
      </c>
      <c r="J30" s="126" t="str">
        <f t="shared" ca="1" si="13"/>
        <v>10KV高压</v>
      </c>
      <c r="K30" s="129"/>
    </row>
    <row r="31" spans="1:14" s="130" customFormat="1" ht="18.95" customHeight="1" x14ac:dyDescent="0.15">
      <c r="A31" s="121">
        <f ca="1">COUNTIF(J$8:J31,J31)-1</f>
        <v>10</v>
      </c>
      <c r="B31" s="122" t="str">
        <f t="shared" ca="1" si="5"/>
        <v/>
      </c>
      <c r="C31" s="122" t="str">
        <f t="shared" ca="1" si="6"/>
        <v/>
      </c>
      <c r="D31" s="122" t="str">
        <f t="shared" ca="1" si="7"/>
        <v/>
      </c>
      <c r="E31" s="102" t="str">
        <f t="shared" ca="1" si="8"/>
        <v/>
      </c>
      <c r="F31" s="41" t="str">
        <f t="shared" ca="1" si="9"/>
        <v/>
      </c>
      <c r="G31" s="123" t="str">
        <f t="shared" ca="1" si="10"/>
        <v/>
      </c>
      <c r="H31" s="124" t="str">
        <f t="shared" ca="1" si="11"/>
        <v/>
      </c>
      <c r="I31" s="123" t="str">
        <f t="shared" ca="1" si="12"/>
        <v/>
      </c>
      <c r="J31" s="126" t="str">
        <f t="shared" ca="1" si="13"/>
        <v>10KV高压</v>
      </c>
      <c r="K31" s="129"/>
    </row>
    <row r="32" spans="1:14" s="130" customFormat="1" ht="12" customHeight="1" x14ac:dyDescent="0.15">
      <c r="A32" s="400"/>
      <c r="B32" s="400"/>
      <c r="C32" s="400"/>
      <c r="D32" s="400"/>
      <c r="E32" s="400"/>
      <c r="F32" s="400"/>
      <c r="G32" s="400"/>
      <c r="H32" s="400"/>
      <c r="I32" s="400"/>
      <c r="J32" s="126" t="str">
        <f t="shared" ca="1" si="13"/>
        <v>10KV高压</v>
      </c>
    </row>
    <row r="33" spans="1:14" s="130" customFormat="1" ht="18.95" customHeight="1" x14ac:dyDescent="0.15">
      <c r="A33" s="406" t="str">
        <f ca="1">J33&amp;"合计："</f>
        <v>10KV高压合计：</v>
      </c>
      <c r="B33" s="407"/>
      <c r="C33" s="407"/>
      <c r="D33" s="408"/>
      <c r="E33" s="409" t="str">
        <f ca="1">SUM(F21:F32)&amp;"台"</f>
        <v>13台</v>
      </c>
      <c r="F33" s="410"/>
      <c r="G33" s="411">
        <f ca="1">SUM(H21:H32)</f>
        <v>284139</v>
      </c>
      <c r="H33" s="412"/>
      <c r="I33" s="413"/>
      <c r="J33" s="126" t="str">
        <f t="shared" ca="1" si="13"/>
        <v>10KV高压</v>
      </c>
      <c r="L33" s="414" t="s">
        <v>2624</v>
      </c>
      <c r="M33" s="415"/>
      <c r="N33" s="415"/>
    </row>
    <row r="34" spans="1:14" ht="12" customHeight="1" x14ac:dyDescent="0.15">
      <c r="A34" s="400"/>
      <c r="B34" s="400"/>
      <c r="C34" s="400"/>
      <c r="D34" s="400"/>
      <c r="E34" s="400"/>
      <c r="F34" s="400"/>
      <c r="G34" s="400"/>
      <c r="H34" s="400"/>
      <c r="I34" s="400"/>
      <c r="J34" s="314"/>
    </row>
    <row r="35" spans="1:14" ht="21" customHeight="1" x14ac:dyDescent="0.15">
      <c r="A35" s="443" t="s">
        <v>244</v>
      </c>
      <c r="B35" s="443"/>
      <c r="C35" s="443"/>
      <c r="D35" s="329" t="s">
        <v>249</v>
      </c>
      <c r="E35" s="454">
        <f ca="1">SUM(F7:F34)</f>
        <v>17</v>
      </c>
      <c r="F35" s="455"/>
      <c r="G35" s="445">
        <f ca="1">SUM(H7:H34)</f>
        <v>665837</v>
      </c>
      <c r="H35" s="445"/>
      <c r="I35" s="445"/>
      <c r="J35" s="314"/>
      <c r="L35" s="399" t="s">
        <v>2625</v>
      </c>
      <c r="M35" s="399"/>
      <c r="N35" s="399"/>
    </row>
    <row r="36" spans="1:14" ht="21" customHeight="1" x14ac:dyDescent="0.15">
      <c r="A36" s="443" t="s">
        <v>245</v>
      </c>
      <c r="B36" s="443"/>
      <c r="C36" s="443"/>
      <c r="D36" s="446" t="str">
        <f ca="1">SUBSTITUTE(SUBSTITUTE(IF(G35&gt;-0.5%,,"负")&amp;TEXT(INT(FIXED(ABS(G35))),"[dbnum2]G/通用格式元;;")&amp;TEXT(RIGHT(FIXED(G35),2),"[dbnum2]0角0分;;"&amp;IF(ABS(G35)&gt;1%,"整",)),"零角",IF(ABS(G35)&lt;1,,"零")),"零分","整")</f>
        <v>陆拾陆万伍仟捌佰叁拾柒元整</v>
      </c>
      <c r="E36" s="446"/>
      <c r="F36" s="446"/>
      <c r="G36" s="446"/>
      <c r="H36" s="446"/>
      <c r="I36" s="446"/>
      <c r="J36" s="314"/>
      <c r="L36" s="330"/>
    </row>
    <row r="37" spans="1:14" s="309" customFormat="1" ht="18.95" customHeight="1" x14ac:dyDescent="0.15">
      <c r="A37" s="431" t="s">
        <v>246</v>
      </c>
      <c r="B37" s="432" t="s">
        <v>3262</v>
      </c>
      <c r="C37" s="433"/>
      <c r="D37" s="433"/>
      <c r="E37" s="433"/>
      <c r="F37" s="433"/>
      <c r="G37" s="433"/>
      <c r="H37" s="433"/>
      <c r="I37" s="434"/>
      <c r="J37" s="331" t="s">
        <v>250</v>
      </c>
      <c r="L37" s="330"/>
      <c r="M37" s="317"/>
      <c r="N37" s="317"/>
    </row>
    <row r="38" spans="1:14" s="309" customFormat="1" ht="18.95" customHeight="1" x14ac:dyDescent="0.15">
      <c r="A38" s="431"/>
      <c r="B38" s="435"/>
      <c r="C38" s="436"/>
      <c r="D38" s="436"/>
      <c r="E38" s="436"/>
      <c r="F38" s="436"/>
      <c r="G38" s="436"/>
      <c r="H38" s="436"/>
      <c r="I38" s="437"/>
      <c r="J38" s="331"/>
      <c r="L38" s="330"/>
      <c r="M38" s="317"/>
      <c r="N38" s="317"/>
    </row>
    <row r="39" spans="1:14" s="309" customFormat="1" ht="18.95" customHeight="1" x14ac:dyDescent="0.15">
      <c r="A39" s="431"/>
      <c r="B39" s="435"/>
      <c r="C39" s="436"/>
      <c r="D39" s="436"/>
      <c r="E39" s="436"/>
      <c r="F39" s="436"/>
      <c r="G39" s="436"/>
      <c r="H39" s="436"/>
      <c r="I39" s="437"/>
      <c r="J39" s="331"/>
      <c r="L39" s="330"/>
      <c r="M39" s="317"/>
      <c r="N39" s="317"/>
    </row>
    <row r="40" spans="1:14" s="309" customFormat="1" ht="18.95" customHeight="1" x14ac:dyDescent="0.15">
      <c r="A40" s="431"/>
      <c r="B40" s="435"/>
      <c r="C40" s="436"/>
      <c r="D40" s="436"/>
      <c r="E40" s="436"/>
      <c r="F40" s="436"/>
      <c r="G40" s="436"/>
      <c r="H40" s="436"/>
      <c r="I40" s="437"/>
      <c r="J40" s="331"/>
      <c r="L40" s="330"/>
      <c r="M40" s="317"/>
      <c r="N40" s="317"/>
    </row>
    <row r="41" spans="1:14" s="309" customFormat="1" ht="18.95" customHeight="1" x14ac:dyDescent="0.15">
      <c r="A41" s="431"/>
      <c r="B41" s="435"/>
      <c r="C41" s="436"/>
      <c r="D41" s="436"/>
      <c r="E41" s="436"/>
      <c r="F41" s="436"/>
      <c r="G41" s="436"/>
      <c r="H41" s="436"/>
      <c r="I41" s="437"/>
      <c r="J41" s="331"/>
      <c r="L41" s="330"/>
      <c r="M41" s="317"/>
      <c r="N41" s="317"/>
    </row>
    <row r="42" spans="1:14" s="309" customFormat="1" ht="18.95" customHeight="1" x14ac:dyDescent="0.15">
      <c r="A42" s="431"/>
      <c r="B42" s="435"/>
      <c r="C42" s="436"/>
      <c r="D42" s="436"/>
      <c r="E42" s="436"/>
      <c r="F42" s="436"/>
      <c r="G42" s="436"/>
      <c r="H42" s="436"/>
      <c r="I42" s="437"/>
      <c r="J42" s="331"/>
      <c r="L42" s="330"/>
      <c r="M42" s="317"/>
      <c r="N42" s="317"/>
    </row>
    <row r="43" spans="1:14" s="309" customFormat="1" ht="18.95" customHeight="1" x14ac:dyDescent="0.15">
      <c r="A43" s="431"/>
      <c r="B43" s="435"/>
      <c r="C43" s="436"/>
      <c r="D43" s="436"/>
      <c r="E43" s="436"/>
      <c r="F43" s="436"/>
      <c r="G43" s="436"/>
      <c r="H43" s="436"/>
      <c r="I43" s="437"/>
      <c r="J43" s="331"/>
      <c r="L43" s="214"/>
      <c r="M43" s="317"/>
      <c r="N43" s="317"/>
    </row>
    <row r="44" spans="1:14" s="309" customFormat="1" ht="18.95" customHeight="1" x14ac:dyDescent="0.2">
      <c r="A44" s="431"/>
      <c r="B44" s="435"/>
      <c r="C44" s="436"/>
      <c r="D44" s="436"/>
      <c r="E44" s="436"/>
      <c r="F44" s="436"/>
      <c r="G44" s="436"/>
      <c r="H44" s="436"/>
      <c r="I44" s="437"/>
      <c r="J44" s="331"/>
      <c r="L44" s="214"/>
      <c r="M44" s="330"/>
      <c r="N44" s="330"/>
    </row>
    <row r="45" spans="1:14" s="309" customFormat="1" ht="18.95" customHeight="1" x14ac:dyDescent="0.15">
      <c r="A45" s="431"/>
      <c r="B45" s="438"/>
      <c r="C45" s="439"/>
      <c r="D45" s="439"/>
      <c r="E45" s="439"/>
      <c r="F45" s="439"/>
      <c r="G45" s="439"/>
      <c r="H45" s="439"/>
      <c r="I45" s="440"/>
      <c r="J45" s="331"/>
      <c r="L45" s="317"/>
      <c r="M45" s="330"/>
      <c r="N45" s="330"/>
    </row>
    <row r="46" spans="1:14" s="214" customFormat="1" ht="18.95" customHeight="1" x14ac:dyDescent="0.2">
      <c r="A46" s="420" t="s">
        <v>247</v>
      </c>
      <c r="B46" s="420"/>
      <c r="C46" s="420"/>
      <c r="D46" s="421" t="s">
        <v>3247</v>
      </c>
      <c r="E46" s="421"/>
      <c r="F46" s="421"/>
      <c r="G46" s="421"/>
      <c r="H46" s="421"/>
      <c r="I46" s="421"/>
      <c r="J46" s="332"/>
      <c r="K46" s="333"/>
    </row>
    <row r="47" spans="1:14" s="214" customFormat="1" ht="18.95" customHeight="1" x14ac:dyDescent="0.2">
      <c r="A47" s="419" t="s">
        <v>3235</v>
      </c>
      <c r="B47" s="419"/>
      <c r="C47" s="419"/>
      <c r="D47" s="419" t="s">
        <v>3236</v>
      </c>
      <c r="E47" s="419"/>
      <c r="F47" s="419"/>
      <c r="G47" s="419" t="s">
        <v>3237</v>
      </c>
      <c r="H47" s="419"/>
      <c r="I47" s="419"/>
      <c r="J47" s="332"/>
      <c r="K47" s="333"/>
    </row>
    <row r="48" spans="1:14" s="214" customFormat="1" ht="18.95" customHeight="1" x14ac:dyDescent="0.2">
      <c r="A48" s="423" t="s">
        <v>3248</v>
      </c>
      <c r="B48" s="423"/>
      <c r="C48" s="423"/>
      <c r="D48" s="423" t="s">
        <v>3249</v>
      </c>
      <c r="E48" s="423"/>
      <c r="F48" s="423"/>
      <c r="G48" s="422" t="s">
        <v>3250</v>
      </c>
      <c r="H48" s="422"/>
      <c r="I48" s="422"/>
      <c r="J48" s="332"/>
      <c r="K48" s="333"/>
    </row>
    <row r="49" spans="1:19" s="214" customFormat="1" ht="21.75" customHeight="1" x14ac:dyDescent="0.2">
      <c r="A49" s="417" t="s">
        <v>3251</v>
      </c>
      <c r="B49" s="418"/>
      <c r="C49" s="418"/>
      <c r="D49" s="418"/>
      <c r="E49" s="418"/>
      <c r="F49" s="418"/>
      <c r="G49" s="418"/>
      <c r="H49" s="418"/>
      <c r="I49" s="418"/>
      <c r="J49" s="332"/>
      <c r="K49" s="333"/>
    </row>
    <row r="50" spans="1:19" ht="18" customHeight="1" x14ac:dyDescent="0.15">
      <c r="M50" s="214"/>
      <c r="N50" s="214"/>
    </row>
    <row r="51" spans="1:19" ht="18" customHeight="1" x14ac:dyDescent="0.15">
      <c r="M51" s="214"/>
      <c r="N51" s="214"/>
    </row>
    <row r="52" spans="1:19" ht="18" customHeight="1" x14ac:dyDescent="0.15">
      <c r="M52" s="214"/>
      <c r="N52" s="214"/>
    </row>
    <row r="53" spans="1:19" ht="18" customHeight="1" x14ac:dyDescent="0.15">
      <c r="M53" s="214"/>
      <c r="N53" s="214"/>
    </row>
    <row r="54" spans="1:19" ht="18" customHeight="1" x14ac:dyDescent="0.15"/>
    <row r="55" spans="1:19" ht="18" customHeight="1" x14ac:dyDescent="0.15"/>
    <row r="56" spans="1:19" ht="18" customHeight="1" x14ac:dyDescent="0.15"/>
    <row r="57" spans="1:19" ht="18" customHeight="1" x14ac:dyDescent="0.15"/>
    <row r="58" spans="1:19" ht="18" customHeight="1" x14ac:dyDescent="0.15"/>
    <row r="59" spans="1:19" s="309" customFormat="1" ht="71.25" customHeight="1" x14ac:dyDescent="0.2">
      <c r="A59" s="401" t="s">
        <v>3230</v>
      </c>
      <c r="B59" s="401"/>
      <c r="C59" s="401"/>
      <c r="D59" s="401"/>
      <c r="E59" s="401"/>
      <c r="F59" s="401"/>
      <c r="G59" s="401"/>
      <c r="H59" s="401"/>
      <c r="I59" s="401"/>
      <c r="J59" s="369"/>
      <c r="K59" s="369"/>
      <c r="L59" s="369"/>
      <c r="M59" s="369"/>
      <c r="N59" s="369"/>
      <c r="O59" s="369"/>
      <c r="P59" s="369"/>
      <c r="Q59" s="369"/>
      <c r="R59" s="369"/>
      <c r="S59" s="369"/>
    </row>
    <row r="60" spans="1:19" s="309" customFormat="1" ht="18.95" customHeight="1" x14ac:dyDescent="0.15">
      <c r="A60" s="398" t="str">
        <f>A2</f>
        <v>询价单位：</v>
      </c>
      <c r="B60" s="398"/>
      <c r="C60" s="398"/>
      <c r="D60" s="302"/>
      <c r="E60" s="396" t="s">
        <v>240</v>
      </c>
      <c r="F60" s="396"/>
      <c r="G60" s="394" t="str">
        <f ca="1">G2</f>
        <v>ENJ20181210170001</v>
      </c>
      <c r="H60" s="394"/>
      <c r="I60" s="394"/>
      <c r="J60" s="308"/>
      <c r="L60" s="317"/>
      <c r="M60" s="317"/>
      <c r="N60" s="317"/>
    </row>
    <row r="61" spans="1:19" s="312" customFormat="1" ht="18.95" customHeight="1" x14ac:dyDescent="0.15">
      <c r="A61" s="398" t="str">
        <f>A3</f>
        <v>经 办 人：</v>
      </c>
      <c r="B61" s="398"/>
      <c r="C61" s="398"/>
      <c r="D61" s="310"/>
      <c r="E61" s="396" t="s">
        <v>242</v>
      </c>
      <c r="F61" s="396"/>
      <c r="G61" s="456">
        <f>G3</f>
        <v>43444</v>
      </c>
      <c r="H61" s="456"/>
      <c r="I61" s="456"/>
      <c r="J61" s="314"/>
      <c r="L61" s="317"/>
      <c r="M61" s="317"/>
      <c r="N61" s="317"/>
    </row>
    <row r="62" spans="1:19" s="312" customFormat="1" ht="18.95" customHeight="1" x14ac:dyDescent="0.15">
      <c r="A62" s="398" t="str">
        <f>A4</f>
        <v>电    话：</v>
      </c>
      <c r="B62" s="398"/>
      <c r="C62" s="398"/>
      <c r="D62" s="310"/>
      <c r="E62" s="403" t="s">
        <v>3232</v>
      </c>
      <c r="F62" s="403"/>
      <c r="G62" s="402" t="str">
        <f>G4</f>
        <v>人民币元</v>
      </c>
      <c r="H62" s="402"/>
      <c r="I62" s="402"/>
      <c r="J62" s="314"/>
      <c r="L62" s="317"/>
      <c r="M62" s="317"/>
      <c r="N62" s="317"/>
    </row>
    <row r="63" spans="1:19" s="312" customFormat="1" ht="18.95" customHeight="1" x14ac:dyDescent="0.15">
      <c r="A63" s="398" t="str">
        <f>A5</f>
        <v>邮    箱：</v>
      </c>
      <c r="B63" s="398"/>
      <c r="C63" s="398"/>
      <c r="D63" s="310"/>
      <c r="E63" s="403"/>
      <c r="F63" s="403"/>
      <c r="G63" s="404"/>
      <c r="H63" s="404"/>
      <c r="I63" s="404"/>
      <c r="J63" s="314"/>
      <c r="L63" s="317"/>
      <c r="M63" s="317"/>
      <c r="N63" s="317"/>
    </row>
    <row r="64" spans="1:19" ht="18.95" customHeight="1" x14ac:dyDescent="0.15">
      <c r="A64" s="394" t="str">
        <f>A6</f>
        <v>项目名称：</v>
      </c>
      <c r="B64" s="394"/>
      <c r="C64" s="394"/>
      <c r="D64" s="394"/>
      <c r="E64" s="394"/>
      <c r="F64" s="394"/>
      <c r="G64" s="394"/>
      <c r="H64" s="394"/>
      <c r="I64" s="394"/>
    </row>
    <row r="65" spans="1:14" s="319" customFormat="1" ht="18.95" customHeight="1" x14ac:dyDescent="0.15">
      <c r="A65" s="377" t="s">
        <v>8</v>
      </c>
      <c r="B65" s="376" t="s">
        <v>9</v>
      </c>
      <c r="C65" s="376" t="s">
        <v>10</v>
      </c>
      <c r="D65" s="376" t="s">
        <v>3243</v>
      </c>
      <c r="E65" s="376" t="s">
        <v>13</v>
      </c>
      <c r="F65" s="376" t="s">
        <v>14</v>
      </c>
      <c r="G65" s="378" t="s">
        <v>77</v>
      </c>
      <c r="H65" s="378" t="s">
        <v>78</v>
      </c>
      <c r="I65" s="376" t="s">
        <v>17</v>
      </c>
      <c r="J65" s="318"/>
      <c r="L65" s="317"/>
      <c r="M65" s="317"/>
      <c r="N65" s="317"/>
    </row>
    <row r="66" spans="1:14" s="312" customFormat="1" ht="24" customHeight="1" x14ac:dyDescent="0.15">
      <c r="A66" s="447" t="str">
        <f>A8</f>
        <v>预装式变电站</v>
      </c>
      <c r="B66" s="447"/>
      <c r="C66" s="320"/>
      <c r="D66" s="320"/>
      <c r="E66" s="321"/>
      <c r="F66" s="321"/>
      <c r="J66" s="314" t="str">
        <f>IF(ISNUMBER(FIND("配电柜",A66)),LEFT(A66,LEN(A66)-3),A66)</f>
        <v>预装式变电站</v>
      </c>
      <c r="L66" s="317"/>
      <c r="M66" s="317"/>
      <c r="N66" s="317"/>
    </row>
    <row r="67" spans="1:14" ht="18.95" customHeight="1" x14ac:dyDescent="0.15">
      <c r="A67" s="322">
        <f ca="1">COUNTIF(J$65:J67,J67)-1</f>
        <v>1</v>
      </c>
      <c r="B67" s="323" t="str">
        <f t="shared" ref="B67:B130" ca="1" si="14">IFERROR(VLOOKUP(A67,INDIRECT("'"&amp;J67&amp;"'!A:I"),2,FALSE),"")</f>
        <v>高压进线柜</v>
      </c>
      <c r="C67" s="323" t="str">
        <f t="shared" ref="C67:C130" ca="1" si="15">IFERROR(VLOOKUP(A67,INDIRECT("'"&amp;J67&amp;"'!A:I"),8,FALSE)&amp;":"&amp;VLOOKUP(A67,INDIRECT("'"&amp;J67&amp;"'!A:I"),3,FALSE),"")</f>
        <v>HXGN:1AH1</v>
      </c>
      <c r="D67" s="323" t="str">
        <f t="shared" ref="D67:D130" ca="1" si="16">IF(B67="","",IF(VLOOKUP(A67,INDIRECT("'"&amp;J67&amp;"'!A:I"),4,FALSE)="","",IFERROR(VLOOKUP(A67,INDIRECT("'"&amp;J67&amp;"'!A:I"),4,FALSE),"")))</f>
        <v>1#</v>
      </c>
      <c r="E67" s="324" t="str">
        <f t="shared" ref="E67:E130" ca="1" si="17">IFERROR(VLOOKUP(A67,INDIRECT("'"&amp;J67&amp;"'!A:I"),5,FALSE),"")</f>
        <v>台</v>
      </c>
      <c r="F67" s="325">
        <f t="shared" ref="F67:F130" ca="1" si="18">IFERROR(VLOOKUP(A67,INDIRECT("'"&amp;J67&amp;"'!A:I"),6,FALSE),"")</f>
        <v>1</v>
      </c>
      <c r="G67" s="326">
        <f t="shared" ref="G67:G130" ca="1" si="19">IFERROR(VLOOKUP(A67,INDIRECT("'"&amp;J67&amp;"'!A:I"),7,FALSE),"")</f>
        <v>7552</v>
      </c>
      <c r="H67" s="327">
        <f t="shared" ref="H67:H130" ca="1" si="20">IFERROR(F67*G67,"")</f>
        <v>7552</v>
      </c>
      <c r="I67" s="326" t="str">
        <f t="shared" ref="I67:I130" ca="1" si="21">IF(B67="","",IF(VLOOKUP(A67,INDIRECT("'"&amp;J67&amp;"'!A:J"),9,FALSE)="","",IFERROR(VLOOKUP(A67,INDIRECT("'"&amp;J67&amp;"'!A:J"),9,FALSE),"")))</f>
        <v>500*900*2000</v>
      </c>
      <c r="J67" s="314" t="str">
        <f ca="1">INDIRECT("J"&amp;ROW()-1)</f>
        <v>预装式变电站</v>
      </c>
    </row>
    <row r="68" spans="1:14" ht="18.95" customHeight="1" x14ac:dyDescent="0.15">
      <c r="A68" s="322">
        <f ca="1">COUNTIF(J$65:J68,J68)-1</f>
        <v>2</v>
      </c>
      <c r="B68" s="323" t="str">
        <f t="shared" ca="1" si="14"/>
        <v>高压馈线柜</v>
      </c>
      <c r="C68" s="323" t="str">
        <f t="shared" ca="1" si="15"/>
        <v>HXGN:1AH2</v>
      </c>
      <c r="D68" s="323" t="str">
        <f t="shared" ca="1" si="16"/>
        <v>1#</v>
      </c>
      <c r="E68" s="324" t="str">
        <f t="shared" ca="1" si="17"/>
        <v>台</v>
      </c>
      <c r="F68" s="325">
        <f t="shared" ca="1" si="18"/>
        <v>1</v>
      </c>
      <c r="G68" s="326">
        <f t="shared" ca="1" si="19"/>
        <v>6671</v>
      </c>
      <c r="H68" s="327">
        <f t="shared" ca="1" si="20"/>
        <v>6671</v>
      </c>
      <c r="I68" s="326" t="str">
        <f t="shared" ca="1" si="21"/>
        <v>800*900*2000</v>
      </c>
      <c r="J68" s="314" t="str">
        <f t="shared" ref="J68:J166" ca="1" si="22">INDIRECT("J"&amp;ROW()-1)</f>
        <v>预装式变电站</v>
      </c>
    </row>
    <row r="69" spans="1:14" ht="18.95" customHeight="1" x14ac:dyDescent="0.15">
      <c r="A69" s="322">
        <f ca="1">COUNTIF(J$65:J69,J69)-1</f>
        <v>3</v>
      </c>
      <c r="B69" s="323" t="str">
        <f t="shared" ca="1" si="14"/>
        <v>干式变压器</v>
      </c>
      <c r="C69" s="323" t="str">
        <f t="shared" ca="1" si="15"/>
        <v>SCB11-630KVA:T1</v>
      </c>
      <c r="D69" s="323" t="str">
        <f t="shared" ca="1" si="16"/>
        <v>1#</v>
      </c>
      <c r="E69" s="324" t="str">
        <f t="shared" ca="1" si="17"/>
        <v>台</v>
      </c>
      <c r="F69" s="325">
        <f t="shared" ca="1" si="18"/>
        <v>1</v>
      </c>
      <c r="G69" s="326">
        <f t="shared" ca="1" si="19"/>
        <v>38285</v>
      </c>
      <c r="H69" s="327">
        <f t="shared" ca="1" si="20"/>
        <v>38285</v>
      </c>
      <c r="I69" s="326" t="str">
        <f t="shared" ca="1" si="21"/>
        <v>全铝</v>
      </c>
      <c r="J69" s="314" t="str">
        <f t="shared" ca="1" si="22"/>
        <v>预装式变电站</v>
      </c>
    </row>
    <row r="70" spans="1:14" ht="18.95" customHeight="1" x14ac:dyDescent="0.15">
      <c r="A70" s="322">
        <f ca="1">COUNTIF(J$65:J70,J70)-1</f>
        <v>4</v>
      </c>
      <c r="B70" s="323" t="str">
        <f t="shared" ca="1" si="14"/>
        <v>低压进线柜</v>
      </c>
      <c r="C70" s="323" t="str">
        <f t="shared" ca="1" si="15"/>
        <v>GGD:1AA1</v>
      </c>
      <c r="D70" s="323" t="str">
        <f t="shared" ca="1" si="16"/>
        <v>1#</v>
      </c>
      <c r="E70" s="324" t="str">
        <f t="shared" ca="1" si="17"/>
        <v>台</v>
      </c>
      <c r="F70" s="325">
        <f t="shared" ca="1" si="18"/>
        <v>1</v>
      </c>
      <c r="G70" s="326">
        <f t="shared" ca="1" si="19"/>
        <v>14823</v>
      </c>
      <c r="H70" s="327">
        <f t="shared" ca="1" si="20"/>
        <v>14823</v>
      </c>
      <c r="I70" s="326" t="str">
        <f t="shared" ca="1" si="21"/>
        <v>800*600*2000</v>
      </c>
      <c r="J70" s="308" t="str">
        <f t="shared" ca="1" si="22"/>
        <v>预装式变电站</v>
      </c>
      <c r="K70" s="334"/>
    </row>
    <row r="71" spans="1:14" ht="18.95" customHeight="1" x14ac:dyDescent="0.15">
      <c r="A71" s="322">
        <f ca="1">COUNTIF(J$65:J71,J71)-1</f>
        <v>5</v>
      </c>
      <c r="B71" s="323" t="str">
        <f t="shared" ca="1" si="14"/>
        <v>低压电容柜</v>
      </c>
      <c r="C71" s="323" t="str">
        <f t="shared" ca="1" si="15"/>
        <v>GGJ:1AA2</v>
      </c>
      <c r="D71" s="323" t="str">
        <f t="shared" ca="1" si="16"/>
        <v>1#</v>
      </c>
      <c r="E71" s="324" t="str">
        <f t="shared" ca="1" si="17"/>
        <v>台</v>
      </c>
      <c r="F71" s="325">
        <f t="shared" ca="1" si="18"/>
        <v>1</v>
      </c>
      <c r="G71" s="326">
        <f t="shared" ca="1" si="19"/>
        <v>10771</v>
      </c>
      <c r="H71" s="327">
        <f t="shared" ca="1" si="20"/>
        <v>10771</v>
      </c>
      <c r="I71" s="326" t="str">
        <f t="shared" ca="1" si="21"/>
        <v>800*600*2000</v>
      </c>
      <c r="J71" s="308" t="str">
        <f t="shared" ca="1" si="22"/>
        <v>预装式变电站</v>
      </c>
      <c r="K71" s="334"/>
    </row>
    <row r="72" spans="1:14" ht="18.95" customHeight="1" x14ac:dyDescent="0.15">
      <c r="A72" s="322">
        <f ca="1">COUNTIF(J$65:J72,J72)-1</f>
        <v>6</v>
      </c>
      <c r="B72" s="323" t="str">
        <f t="shared" ca="1" si="14"/>
        <v>低压馈线柜</v>
      </c>
      <c r="C72" s="323" t="str">
        <f t="shared" ca="1" si="15"/>
        <v>GGD:1AA3</v>
      </c>
      <c r="D72" s="323" t="str">
        <f t="shared" ca="1" si="16"/>
        <v>1#</v>
      </c>
      <c r="E72" s="324" t="str">
        <f t="shared" ca="1" si="17"/>
        <v>台</v>
      </c>
      <c r="F72" s="325">
        <f t="shared" ca="1" si="18"/>
        <v>1</v>
      </c>
      <c r="G72" s="326">
        <f t="shared" ca="1" si="19"/>
        <v>13142</v>
      </c>
      <c r="H72" s="327">
        <f t="shared" ca="1" si="20"/>
        <v>13142</v>
      </c>
      <c r="I72" s="326" t="str">
        <f t="shared" ca="1" si="21"/>
        <v>800*600*2000</v>
      </c>
      <c r="J72" s="314" t="str">
        <f t="shared" ca="1" si="22"/>
        <v>预装式变电站</v>
      </c>
    </row>
    <row r="73" spans="1:14" ht="18.95" customHeight="1" x14ac:dyDescent="0.15">
      <c r="A73" s="322">
        <f ca="1">COUNTIF(J$65:J73,J73)-1</f>
        <v>7</v>
      </c>
      <c r="B73" s="323" t="str">
        <f t="shared" ca="1" si="14"/>
        <v>箱体及辅助材料</v>
      </c>
      <c r="C73" s="323" t="str">
        <f t="shared" ca="1" si="15"/>
        <v>YBP:630KVA 10/0.4</v>
      </c>
      <c r="D73" s="323" t="str">
        <f t="shared" ca="1" si="16"/>
        <v>1#</v>
      </c>
      <c r="E73" s="324" t="str">
        <f t="shared" ca="1" si="17"/>
        <v>台</v>
      </c>
      <c r="F73" s="325">
        <f t="shared" ca="1" si="18"/>
        <v>1</v>
      </c>
      <c r="G73" s="326">
        <f t="shared" ca="1" si="19"/>
        <v>24720</v>
      </c>
      <c r="H73" s="327">
        <f t="shared" ca="1" si="20"/>
        <v>24720</v>
      </c>
      <c r="I73" s="326" t="str">
        <f t="shared" ca="1" si="21"/>
        <v>4000*2300*2650</v>
      </c>
      <c r="J73" s="314" t="str">
        <f t="shared" ca="1" si="22"/>
        <v>预装式变电站</v>
      </c>
    </row>
    <row r="74" spans="1:14" ht="18.95" customHeight="1" x14ac:dyDescent="0.15">
      <c r="A74" s="322">
        <f ca="1">COUNTIF(J$65:J74,J74)-1</f>
        <v>8</v>
      </c>
      <c r="B74" s="323" t="str">
        <f t="shared" ca="1" si="14"/>
        <v>高压进线柜</v>
      </c>
      <c r="C74" s="323" t="str">
        <f t="shared" ca="1" si="15"/>
        <v>HXGN:3AH1</v>
      </c>
      <c r="D74" s="323" t="str">
        <f t="shared" ca="1" si="16"/>
        <v>3#</v>
      </c>
      <c r="E74" s="324" t="str">
        <f t="shared" ca="1" si="17"/>
        <v>台</v>
      </c>
      <c r="F74" s="325">
        <f t="shared" ca="1" si="18"/>
        <v>1</v>
      </c>
      <c r="G74" s="326">
        <f t="shared" ca="1" si="19"/>
        <v>7552</v>
      </c>
      <c r="H74" s="327">
        <f t="shared" ca="1" si="20"/>
        <v>7552</v>
      </c>
      <c r="I74" s="326" t="str">
        <f t="shared" ca="1" si="21"/>
        <v>500*900*2000</v>
      </c>
      <c r="J74" s="308" t="str">
        <f t="shared" ca="1" si="22"/>
        <v>预装式变电站</v>
      </c>
      <c r="K74" s="334"/>
    </row>
    <row r="75" spans="1:14" ht="18.95" customHeight="1" x14ac:dyDescent="0.15">
      <c r="A75" s="322">
        <f ca="1">COUNTIF(J$65:J75,J75)-1</f>
        <v>9</v>
      </c>
      <c r="B75" s="323" t="str">
        <f t="shared" ca="1" si="14"/>
        <v>高压馈线柜</v>
      </c>
      <c r="C75" s="323" t="str">
        <f t="shared" ca="1" si="15"/>
        <v>HXGN:3AH2</v>
      </c>
      <c r="D75" s="323" t="str">
        <f t="shared" ca="1" si="16"/>
        <v>3#</v>
      </c>
      <c r="E75" s="324" t="str">
        <f t="shared" ca="1" si="17"/>
        <v>台</v>
      </c>
      <c r="F75" s="325">
        <f t="shared" ca="1" si="18"/>
        <v>1</v>
      </c>
      <c r="G75" s="326">
        <f t="shared" ca="1" si="19"/>
        <v>6671</v>
      </c>
      <c r="H75" s="327">
        <f t="shared" ca="1" si="20"/>
        <v>6671</v>
      </c>
      <c r="I75" s="326" t="str">
        <f t="shared" ca="1" si="21"/>
        <v>800*900*2000</v>
      </c>
      <c r="J75" s="314" t="str">
        <f t="shared" ca="1" si="22"/>
        <v>预装式变电站</v>
      </c>
    </row>
    <row r="76" spans="1:14" ht="18.95" customHeight="1" x14ac:dyDescent="0.15">
      <c r="A76" s="322">
        <f ca="1">COUNTIF(J$65:J76,J76)-1</f>
        <v>10</v>
      </c>
      <c r="B76" s="323" t="str">
        <f t="shared" ca="1" si="14"/>
        <v>干式变压器</v>
      </c>
      <c r="C76" s="323" t="str">
        <f t="shared" ca="1" si="15"/>
        <v>SCB11-400KVA:T1</v>
      </c>
      <c r="D76" s="323" t="str">
        <f t="shared" ca="1" si="16"/>
        <v>3#</v>
      </c>
      <c r="E76" s="324" t="str">
        <f t="shared" ca="1" si="17"/>
        <v>台</v>
      </c>
      <c r="F76" s="325">
        <f t="shared" ca="1" si="18"/>
        <v>1</v>
      </c>
      <c r="G76" s="326">
        <f t="shared" ca="1" si="19"/>
        <v>30020</v>
      </c>
      <c r="H76" s="327">
        <f t="shared" ca="1" si="20"/>
        <v>30020</v>
      </c>
      <c r="I76" s="326" t="str">
        <f t="shared" ca="1" si="21"/>
        <v>全铝</v>
      </c>
      <c r="J76" s="308" t="str">
        <f t="shared" ca="1" si="22"/>
        <v>预装式变电站</v>
      </c>
      <c r="K76" s="334"/>
    </row>
    <row r="77" spans="1:14" ht="18.95" customHeight="1" x14ac:dyDescent="0.15">
      <c r="A77" s="322">
        <f ca="1">COUNTIF(J$65:J77,J77)-1</f>
        <v>11</v>
      </c>
      <c r="B77" s="323" t="str">
        <f t="shared" ca="1" si="14"/>
        <v>低压进线柜</v>
      </c>
      <c r="C77" s="323" t="str">
        <f t="shared" ca="1" si="15"/>
        <v>GGD:3AA1</v>
      </c>
      <c r="D77" s="323" t="str">
        <f t="shared" ca="1" si="16"/>
        <v>3#</v>
      </c>
      <c r="E77" s="324" t="str">
        <f t="shared" ca="1" si="17"/>
        <v>台</v>
      </c>
      <c r="F77" s="325">
        <f t="shared" ca="1" si="18"/>
        <v>1</v>
      </c>
      <c r="G77" s="326">
        <f t="shared" ca="1" si="19"/>
        <v>10395</v>
      </c>
      <c r="H77" s="327">
        <f t="shared" ca="1" si="20"/>
        <v>10395</v>
      </c>
      <c r="I77" s="326" t="str">
        <f t="shared" ca="1" si="21"/>
        <v>800*600*2000</v>
      </c>
      <c r="J77" s="308" t="str">
        <f t="shared" ca="1" si="22"/>
        <v>预装式变电站</v>
      </c>
      <c r="K77" s="334"/>
    </row>
    <row r="78" spans="1:14" ht="18.95" customHeight="1" x14ac:dyDescent="0.15">
      <c r="A78" s="322">
        <f ca="1">COUNTIF(J$65:J78,J78)-1</f>
        <v>12</v>
      </c>
      <c r="B78" s="323" t="str">
        <f t="shared" ca="1" si="14"/>
        <v>低压电容柜</v>
      </c>
      <c r="C78" s="323" t="str">
        <f t="shared" ca="1" si="15"/>
        <v>GGJ:3AA2</v>
      </c>
      <c r="D78" s="323" t="str">
        <f t="shared" ca="1" si="16"/>
        <v>3#</v>
      </c>
      <c r="E78" s="324" t="str">
        <f t="shared" ca="1" si="17"/>
        <v>台</v>
      </c>
      <c r="F78" s="325">
        <f t="shared" ca="1" si="18"/>
        <v>1</v>
      </c>
      <c r="G78" s="326">
        <f t="shared" ca="1" si="19"/>
        <v>9652</v>
      </c>
      <c r="H78" s="327">
        <f t="shared" ca="1" si="20"/>
        <v>9652</v>
      </c>
      <c r="I78" s="326" t="str">
        <f t="shared" ca="1" si="21"/>
        <v>800*600*2000</v>
      </c>
      <c r="J78" s="314" t="str">
        <f t="shared" ca="1" si="22"/>
        <v>预装式变电站</v>
      </c>
    </row>
    <row r="79" spans="1:14" s="317" customFormat="1" ht="18.95" customHeight="1" x14ac:dyDescent="0.15">
      <c r="A79" s="322">
        <f ca="1">COUNTIF(J$65:J79,J79)-1</f>
        <v>13</v>
      </c>
      <c r="B79" s="323" t="str">
        <f t="shared" ca="1" si="14"/>
        <v>低压馈线柜</v>
      </c>
      <c r="C79" s="323" t="str">
        <f t="shared" ca="1" si="15"/>
        <v>GGD:3AA3</v>
      </c>
      <c r="D79" s="323" t="str">
        <f t="shared" ca="1" si="16"/>
        <v>3#</v>
      </c>
      <c r="E79" s="324" t="str">
        <f t="shared" ca="1" si="17"/>
        <v>台</v>
      </c>
      <c r="F79" s="325">
        <f t="shared" ca="1" si="18"/>
        <v>1</v>
      </c>
      <c r="G79" s="326">
        <f t="shared" ca="1" si="19"/>
        <v>7474</v>
      </c>
      <c r="H79" s="327">
        <f t="shared" ca="1" si="20"/>
        <v>7474</v>
      </c>
      <c r="I79" s="326" t="str">
        <f t="shared" ca="1" si="21"/>
        <v>1000*600*2000</v>
      </c>
      <c r="J79" s="314" t="str">
        <f t="shared" ca="1" si="22"/>
        <v>预装式变电站</v>
      </c>
      <c r="K79" s="316"/>
    </row>
    <row r="80" spans="1:14" s="317" customFormat="1" ht="18.95" customHeight="1" x14ac:dyDescent="0.15">
      <c r="A80" s="322">
        <f ca="1">COUNTIF(J$65:J80,J80)-1</f>
        <v>14</v>
      </c>
      <c r="B80" s="323" t="str">
        <f t="shared" ca="1" si="14"/>
        <v>箱体及辅助材料</v>
      </c>
      <c r="C80" s="323" t="str">
        <f t="shared" ca="1" si="15"/>
        <v>YBP:400KVA 10/0.4</v>
      </c>
      <c r="D80" s="323" t="str">
        <f t="shared" ca="1" si="16"/>
        <v>3#</v>
      </c>
      <c r="E80" s="324" t="str">
        <f t="shared" ca="1" si="17"/>
        <v>台</v>
      </c>
      <c r="F80" s="325">
        <f t="shared" ca="1" si="18"/>
        <v>1</v>
      </c>
      <c r="G80" s="326">
        <f t="shared" ca="1" si="19"/>
        <v>18930</v>
      </c>
      <c r="H80" s="327">
        <f t="shared" ca="1" si="20"/>
        <v>18930</v>
      </c>
      <c r="I80" s="326" t="str">
        <f t="shared" ca="1" si="21"/>
        <v>3300*2200*2650</v>
      </c>
      <c r="J80" s="308" t="str">
        <f t="shared" ca="1" si="22"/>
        <v>预装式变电站</v>
      </c>
      <c r="K80" s="334"/>
    </row>
    <row r="81" spans="1:11" s="317" customFormat="1" ht="18.95" customHeight="1" x14ac:dyDescent="0.15">
      <c r="A81" s="322">
        <f ca="1">COUNTIF(J$65:J81,J81)-1</f>
        <v>15</v>
      </c>
      <c r="B81" s="323" t="str">
        <f t="shared" ca="1" si="14"/>
        <v>高压进线柜</v>
      </c>
      <c r="C81" s="323" t="str">
        <f t="shared" ca="1" si="15"/>
        <v>HXGN:4AH1</v>
      </c>
      <c r="D81" s="323" t="str">
        <f t="shared" ca="1" si="16"/>
        <v>4#</v>
      </c>
      <c r="E81" s="324" t="str">
        <f t="shared" ca="1" si="17"/>
        <v>台</v>
      </c>
      <c r="F81" s="325">
        <f t="shared" ca="1" si="18"/>
        <v>1</v>
      </c>
      <c r="G81" s="326">
        <f t="shared" ca="1" si="19"/>
        <v>7552</v>
      </c>
      <c r="H81" s="327">
        <f t="shared" ca="1" si="20"/>
        <v>7552</v>
      </c>
      <c r="I81" s="326" t="str">
        <f t="shared" ca="1" si="21"/>
        <v>500*900*2000</v>
      </c>
      <c r="J81" s="308" t="str">
        <f t="shared" ca="1" si="22"/>
        <v>预装式变电站</v>
      </c>
      <c r="K81" s="334"/>
    </row>
    <row r="82" spans="1:11" s="317" customFormat="1" ht="18.95" customHeight="1" x14ac:dyDescent="0.15">
      <c r="A82" s="322">
        <f ca="1">COUNTIF(J$65:J82,J82)-1</f>
        <v>16</v>
      </c>
      <c r="B82" s="323" t="str">
        <f t="shared" ca="1" si="14"/>
        <v>高压馈线柜</v>
      </c>
      <c r="C82" s="323" t="str">
        <f t="shared" ca="1" si="15"/>
        <v>HXGN:4AH2</v>
      </c>
      <c r="D82" s="323" t="str">
        <f t="shared" ca="1" si="16"/>
        <v>4#</v>
      </c>
      <c r="E82" s="324" t="str">
        <f t="shared" ca="1" si="17"/>
        <v>台</v>
      </c>
      <c r="F82" s="325">
        <f t="shared" ca="1" si="18"/>
        <v>1</v>
      </c>
      <c r="G82" s="326">
        <f t="shared" ca="1" si="19"/>
        <v>6671</v>
      </c>
      <c r="H82" s="327">
        <f t="shared" ca="1" si="20"/>
        <v>6671</v>
      </c>
      <c r="I82" s="326" t="str">
        <f t="shared" ca="1" si="21"/>
        <v>800*900*2000</v>
      </c>
      <c r="J82" s="314" t="str">
        <f ca="1">INDIRECT("J"&amp;ROW()-1)</f>
        <v>预装式变电站</v>
      </c>
      <c r="K82" s="316"/>
    </row>
    <row r="83" spans="1:11" s="317" customFormat="1" ht="18.95" customHeight="1" x14ac:dyDescent="0.15">
      <c r="A83" s="322">
        <f ca="1">COUNTIF(J$65:J83,J83)-1</f>
        <v>17</v>
      </c>
      <c r="B83" s="323" t="str">
        <f t="shared" ca="1" si="14"/>
        <v>干式变压器</v>
      </c>
      <c r="C83" s="323" t="str">
        <f t="shared" ca="1" si="15"/>
        <v>SCB11-630KVA:T1</v>
      </c>
      <c r="D83" s="323" t="str">
        <f t="shared" ca="1" si="16"/>
        <v>4#</v>
      </c>
      <c r="E83" s="324" t="str">
        <f t="shared" ca="1" si="17"/>
        <v>台</v>
      </c>
      <c r="F83" s="325">
        <f t="shared" ca="1" si="18"/>
        <v>1</v>
      </c>
      <c r="G83" s="326">
        <f t="shared" ca="1" si="19"/>
        <v>38285</v>
      </c>
      <c r="H83" s="327">
        <f t="shared" ca="1" si="20"/>
        <v>38285</v>
      </c>
      <c r="I83" s="326" t="str">
        <f t="shared" ca="1" si="21"/>
        <v>全铝</v>
      </c>
      <c r="J83" s="314" t="str">
        <f t="shared" ca="1" si="22"/>
        <v>预装式变电站</v>
      </c>
      <c r="K83" s="316"/>
    </row>
    <row r="84" spans="1:11" s="317" customFormat="1" ht="18.95" customHeight="1" x14ac:dyDescent="0.15">
      <c r="A84" s="322">
        <f ca="1">COUNTIF(J$65:J84,J84)-1</f>
        <v>18</v>
      </c>
      <c r="B84" s="323" t="str">
        <f ca="1">IFERROR(VLOOKUP(A84,INDIRECT("'"&amp;J84&amp;"'!A:I"),2,FALSE),"")</f>
        <v>低压进线柜</v>
      </c>
      <c r="C84" s="323" t="str">
        <f ca="1">IFERROR(VLOOKUP(A84,INDIRECT("'"&amp;J84&amp;"'!A:I"),8,FALSE)&amp;":"&amp;VLOOKUP(A84,INDIRECT("'"&amp;J84&amp;"'!A:I"),3,FALSE),"")</f>
        <v>GGD:4AA1</v>
      </c>
      <c r="D84" s="323" t="str">
        <f ca="1">IF(B84="","",IF(VLOOKUP(A84,INDIRECT("'"&amp;J84&amp;"'!A:I"),4,FALSE)="","",IFERROR(VLOOKUP(A84,INDIRECT("'"&amp;J84&amp;"'!A:I"),4,FALSE),"")))</f>
        <v>4#</v>
      </c>
      <c r="E84" s="324" t="str">
        <f ca="1">IFERROR(VLOOKUP(A84,INDIRECT("'"&amp;J84&amp;"'!A:I"),5,FALSE),"")</f>
        <v>台</v>
      </c>
      <c r="F84" s="325">
        <f ca="1">IFERROR(VLOOKUP(A84,INDIRECT("'"&amp;J84&amp;"'!A:I"),6,FALSE),"")</f>
        <v>1</v>
      </c>
      <c r="G84" s="326">
        <f ca="1">IFERROR(VLOOKUP(A84,INDIRECT("'"&amp;J84&amp;"'!A:I"),7,FALSE),"")</f>
        <v>14823</v>
      </c>
      <c r="H84" s="327">
        <f ca="1">IFERROR(F84*G84,"")</f>
        <v>14823</v>
      </c>
      <c r="I84" s="326" t="str">
        <f ca="1">IF(B84="","",IF(VLOOKUP(A84,INDIRECT("'"&amp;J84&amp;"'!A:J"),9,FALSE)="","",IFERROR(VLOOKUP(A84,INDIRECT("'"&amp;J84&amp;"'!A:J"),9,FALSE),"")))</f>
        <v>800*600*2000</v>
      </c>
      <c r="J84" s="314" t="str">
        <f t="shared" ca="1" si="22"/>
        <v>预装式变电站</v>
      </c>
      <c r="K84" s="316"/>
    </row>
    <row r="85" spans="1:11" s="317" customFormat="1" ht="18.95" customHeight="1" x14ac:dyDescent="0.15">
      <c r="A85" s="322">
        <f ca="1">COUNTIF(J$65:J85,J85)-1</f>
        <v>19</v>
      </c>
      <c r="B85" s="323" t="str">
        <f ca="1">IFERROR(VLOOKUP(A85,INDIRECT("'"&amp;J85&amp;"'!A:I"),2,FALSE),"")</f>
        <v>低压电容柜</v>
      </c>
      <c r="C85" s="323" t="str">
        <f ca="1">IFERROR(VLOOKUP(A85,INDIRECT("'"&amp;J85&amp;"'!A:I"),8,FALSE)&amp;":"&amp;VLOOKUP(A85,INDIRECT("'"&amp;J85&amp;"'!A:I"),3,FALSE),"")</f>
        <v>GGJ:4AA2</v>
      </c>
      <c r="D85" s="323" t="str">
        <f ca="1">IF(B85="","",IF(VLOOKUP(A85,INDIRECT("'"&amp;J85&amp;"'!A:I"),4,FALSE)="","",IFERROR(VLOOKUP(A85,INDIRECT("'"&amp;J85&amp;"'!A:I"),4,FALSE),"")))</f>
        <v>4#</v>
      </c>
      <c r="E85" s="324" t="str">
        <f ca="1">IFERROR(VLOOKUP(A85,INDIRECT("'"&amp;J85&amp;"'!A:I"),5,FALSE),"")</f>
        <v>台</v>
      </c>
      <c r="F85" s="325">
        <f ca="1">IFERROR(VLOOKUP(A85,INDIRECT("'"&amp;J85&amp;"'!A:I"),6,FALSE),"")</f>
        <v>1</v>
      </c>
      <c r="G85" s="326">
        <f ca="1">IFERROR(VLOOKUP(A85,INDIRECT("'"&amp;J85&amp;"'!A:I"),7,FALSE),"")</f>
        <v>10525</v>
      </c>
      <c r="H85" s="327">
        <f ca="1">IFERROR(F85*G85,"")</f>
        <v>10525</v>
      </c>
      <c r="I85" s="326" t="str">
        <f ca="1">IF(B85="","",IF(VLOOKUP(A85,INDIRECT("'"&amp;J85&amp;"'!A:J"),9,FALSE)="","",IFERROR(VLOOKUP(A85,INDIRECT("'"&amp;J85&amp;"'!A:J"),9,FALSE),"")))</f>
        <v>800*600*2000</v>
      </c>
      <c r="J85" s="308" t="str">
        <f t="shared" ca="1" si="22"/>
        <v>预装式变电站</v>
      </c>
      <c r="K85" s="334"/>
    </row>
    <row r="86" spans="1:11" s="317" customFormat="1" ht="18.95" customHeight="1" x14ac:dyDescent="0.15">
      <c r="A86" s="322">
        <f ca="1">COUNTIF(J$65:J86,J86)-1</f>
        <v>20</v>
      </c>
      <c r="B86" s="323" t="str">
        <f ca="1">IFERROR(VLOOKUP(A86,INDIRECT("'"&amp;J86&amp;"'!A:I"),2,FALSE),"")</f>
        <v>低压馈线柜</v>
      </c>
      <c r="C86" s="323" t="str">
        <f ca="1">IFERROR(VLOOKUP(A86,INDIRECT("'"&amp;J86&amp;"'!A:I"),8,FALSE)&amp;":"&amp;VLOOKUP(A86,INDIRECT("'"&amp;J86&amp;"'!A:I"),3,FALSE),"")</f>
        <v>GGD:4AA3.4</v>
      </c>
      <c r="D86" s="323" t="str">
        <f ca="1">IF(B86="","",IF(VLOOKUP(A86,INDIRECT("'"&amp;J86&amp;"'!A:I"),4,FALSE)="","",IFERROR(VLOOKUP(A86,INDIRECT("'"&amp;J86&amp;"'!A:I"),4,FALSE),"")))</f>
        <v>4#</v>
      </c>
      <c r="E86" s="324" t="str">
        <f ca="1">IFERROR(VLOOKUP(A86,INDIRECT("'"&amp;J86&amp;"'!A:I"),5,FALSE),"")</f>
        <v>台</v>
      </c>
      <c r="F86" s="325">
        <f ca="1">IFERROR(VLOOKUP(A86,INDIRECT("'"&amp;J86&amp;"'!A:I"),6,FALSE),"")</f>
        <v>2</v>
      </c>
      <c r="G86" s="326">
        <f ca="1">IFERROR(VLOOKUP(A86,INDIRECT("'"&amp;J86&amp;"'!A:I"),7,FALSE),"")</f>
        <v>9668</v>
      </c>
      <c r="H86" s="327">
        <f ca="1">IFERROR(F86*G86,"")</f>
        <v>19336</v>
      </c>
      <c r="I86" s="326" t="str">
        <f ca="1">IF(B86="","",IF(VLOOKUP(A86,INDIRECT("'"&amp;J86&amp;"'!A:J"),9,FALSE)="","",IFERROR(VLOOKUP(A86,INDIRECT("'"&amp;J86&amp;"'!A:J"),9,FALSE),"")))</f>
        <v>1200*600*2000</v>
      </c>
      <c r="J86" s="308" t="str">
        <f t="shared" ca="1" si="22"/>
        <v>预装式变电站</v>
      </c>
      <c r="K86" s="334"/>
    </row>
    <row r="87" spans="1:11" s="317" customFormat="1" ht="18.95" customHeight="1" x14ac:dyDescent="0.15">
      <c r="A87" s="322">
        <f ca="1">COUNTIF(J$65:J87,J87)-1</f>
        <v>21</v>
      </c>
      <c r="B87" s="323" t="str">
        <f ca="1">IFERROR(VLOOKUP(A87,INDIRECT("'"&amp;J87&amp;"'!A:I"),2,FALSE),"")</f>
        <v>箱体及辅助材料</v>
      </c>
      <c r="C87" s="323" t="str">
        <f ca="1">IFERROR(VLOOKUP(A87,INDIRECT("'"&amp;J87&amp;"'!A:I"),8,FALSE)&amp;":"&amp;VLOOKUP(A87,INDIRECT("'"&amp;J87&amp;"'!A:I"),3,FALSE),"")</f>
        <v>YBP:630KVA 10/0.4</v>
      </c>
      <c r="D87" s="323" t="str">
        <f ca="1">IF(B87="","",IF(VLOOKUP(A87,INDIRECT("'"&amp;J87&amp;"'!A:I"),4,FALSE)="","",IFERROR(VLOOKUP(A87,INDIRECT("'"&amp;J87&amp;"'!A:I"),4,FALSE),"")))</f>
        <v>4#</v>
      </c>
      <c r="E87" s="324" t="str">
        <f ca="1">IFERROR(VLOOKUP(A87,INDIRECT("'"&amp;J87&amp;"'!A:I"),5,FALSE),"")</f>
        <v>台</v>
      </c>
      <c r="F87" s="325">
        <f ca="1">IFERROR(VLOOKUP(A87,INDIRECT("'"&amp;J87&amp;"'!A:I"),6,FALSE),"")</f>
        <v>1</v>
      </c>
      <c r="G87" s="326">
        <f ca="1">IFERROR(VLOOKUP(A87,INDIRECT("'"&amp;J87&amp;"'!A:I"),7,FALSE),"")</f>
        <v>26384</v>
      </c>
      <c r="H87" s="327">
        <f ca="1">IFERROR(F87*G87,"")</f>
        <v>26384</v>
      </c>
      <c r="I87" s="326" t="str">
        <f ca="1">IF(B87="","",IF(VLOOKUP(A87,INDIRECT("'"&amp;J87&amp;"'!A:J"),9,FALSE)="","",IFERROR(VLOOKUP(A87,INDIRECT("'"&amp;J87&amp;"'!A:J"),9,FALSE),"")))</f>
        <v>4400*2300*2650</v>
      </c>
      <c r="J87" s="314" t="str">
        <f t="shared" ca="1" si="22"/>
        <v>预装式变电站</v>
      </c>
      <c r="K87" s="316"/>
    </row>
    <row r="88" spans="1:11" s="317" customFormat="1" ht="18.95" customHeight="1" x14ac:dyDescent="0.15">
      <c r="A88" s="322">
        <f ca="1">COUNTIF(J$65:J88,J88)-1</f>
        <v>22</v>
      </c>
      <c r="B88" s="323" t="str">
        <f t="shared" ca="1" si="14"/>
        <v>高压进线柜</v>
      </c>
      <c r="C88" s="323" t="str">
        <f t="shared" ca="1" si="15"/>
        <v>HXGN:5AH1</v>
      </c>
      <c r="D88" s="323" t="str">
        <f t="shared" ca="1" si="16"/>
        <v>5#</v>
      </c>
      <c r="E88" s="324" t="str">
        <f t="shared" ca="1" si="17"/>
        <v>台</v>
      </c>
      <c r="F88" s="325">
        <f t="shared" ca="1" si="18"/>
        <v>1</v>
      </c>
      <c r="G88" s="326">
        <f t="shared" ca="1" si="19"/>
        <v>7552</v>
      </c>
      <c r="H88" s="327">
        <f t="shared" ca="1" si="20"/>
        <v>7552</v>
      </c>
      <c r="I88" s="326" t="str">
        <f t="shared" ca="1" si="21"/>
        <v>500*900*2000</v>
      </c>
      <c r="J88" s="314" t="str">
        <f t="shared" ca="1" si="22"/>
        <v>预装式变电站</v>
      </c>
      <c r="K88" s="316"/>
    </row>
    <row r="89" spans="1:11" s="317" customFormat="1" ht="18.95" customHeight="1" x14ac:dyDescent="0.15">
      <c r="A89" s="322">
        <f ca="1">COUNTIF(J$65:J89,J89)-1</f>
        <v>23</v>
      </c>
      <c r="B89" s="323" t="str">
        <f t="shared" ca="1" si="14"/>
        <v>高压馈线柜</v>
      </c>
      <c r="C89" s="323" t="str">
        <f t="shared" ca="1" si="15"/>
        <v>HXGN:5AH2</v>
      </c>
      <c r="D89" s="323" t="str">
        <f t="shared" ca="1" si="16"/>
        <v>5#</v>
      </c>
      <c r="E89" s="324" t="str">
        <f t="shared" ca="1" si="17"/>
        <v>台</v>
      </c>
      <c r="F89" s="325">
        <f t="shared" ca="1" si="18"/>
        <v>1</v>
      </c>
      <c r="G89" s="326">
        <f t="shared" ca="1" si="19"/>
        <v>6671</v>
      </c>
      <c r="H89" s="327">
        <f t="shared" ca="1" si="20"/>
        <v>6671</v>
      </c>
      <c r="I89" s="326" t="str">
        <f t="shared" ca="1" si="21"/>
        <v>800*900*2000</v>
      </c>
      <c r="J89" s="308" t="str">
        <f t="shared" ca="1" si="22"/>
        <v>预装式变电站</v>
      </c>
      <c r="K89" s="334"/>
    </row>
    <row r="90" spans="1:11" s="317" customFormat="1" ht="18.95" customHeight="1" x14ac:dyDescent="0.15">
      <c r="A90" s="322">
        <f ca="1">COUNTIF(J$65:J90,J90)-1</f>
        <v>24</v>
      </c>
      <c r="B90" s="323" t="str">
        <f t="shared" ca="1" si="14"/>
        <v>干式变压器</v>
      </c>
      <c r="C90" s="323" t="str">
        <f t="shared" ca="1" si="15"/>
        <v>SCB11-630KVA:T1</v>
      </c>
      <c r="D90" s="323" t="str">
        <f t="shared" ca="1" si="16"/>
        <v>5#</v>
      </c>
      <c r="E90" s="324" t="str">
        <f t="shared" ca="1" si="17"/>
        <v>台</v>
      </c>
      <c r="F90" s="325">
        <f t="shared" ca="1" si="18"/>
        <v>1</v>
      </c>
      <c r="G90" s="326">
        <f t="shared" ca="1" si="19"/>
        <v>38285</v>
      </c>
      <c r="H90" s="327">
        <f t="shared" ca="1" si="20"/>
        <v>38285</v>
      </c>
      <c r="I90" s="326" t="str">
        <f t="shared" ca="1" si="21"/>
        <v>全铝</v>
      </c>
      <c r="J90" s="314" t="str">
        <f t="shared" ca="1" si="22"/>
        <v>预装式变电站</v>
      </c>
      <c r="K90" s="316"/>
    </row>
    <row r="91" spans="1:11" s="317" customFormat="1" ht="18.95" customHeight="1" x14ac:dyDescent="0.15">
      <c r="A91" s="322">
        <f ca="1">COUNTIF(J$65:J91,J91)-1</f>
        <v>25</v>
      </c>
      <c r="B91" s="323" t="str">
        <f t="shared" ca="1" si="14"/>
        <v>低压进线柜</v>
      </c>
      <c r="C91" s="323" t="str">
        <f t="shared" ca="1" si="15"/>
        <v>GGD:5AA1</v>
      </c>
      <c r="D91" s="323" t="str">
        <f t="shared" ca="1" si="16"/>
        <v>5#</v>
      </c>
      <c r="E91" s="324" t="str">
        <f t="shared" ca="1" si="17"/>
        <v>台</v>
      </c>
      <c r="F91" s="325">
        <f t="shared" ca="1" si="18"/>
        <v>1</v>
      </c>
      <c r="G91" s="326">
        <f t="shared" ca="1" si="19"/>
        <v>14823</v>
      </c>
      <c r="H91" s="327">
        <f t="shared" ca="1" si="20"/>
        <v>14823</v>
      </c>
      <c r="I91" s="326" t="str">
        <f t="shared" ca="1" si="21"/>
        <v>800*600*2000</v>
      </c>
      <c r="J91" s="308" t="str">
        <f t="shared" ca="1" si="22"/>
        <v>预装式变电站</v>
      </c>
      <c r="K91" s="334"/>
    </row>
    <row r="92" spans="1:11" s="317" customFormat="1" ht="18.95" customHeight="1" x14ac:dyDescent="0.15">
      <c r="A92" s="322">
        <f ca="1">COUNTIF(J$65:J92,J92)-1</f>
        <v>26</v>
      </c>
      <c r="B92" s="323" t="str">
        <f t="shared" ca="1" si="14"/>
        <v>低压电容柜</v>
      </c>
      <c r="C92" s="323" t="str">
        <f t="shared" ca="1" si="15"/>
        <v>GGJ:5AA2</v>
      </c>
      <c r="D92" s="323" t="str">
        <f t="shared" ca="1" si="16"/>
        <v>5#</v>
      </c>
      <c r="E92" s="324" t="str">
        <f t="shared" ca="1" si="17"/>
        <v>台</v>
      </c>
      <c r="F92" s="325">
        <f t="shared" ca="1" si="18"/>
        <v>1</v>
      </c>
      <c r="G92" s="326">
        <f t="shared" ca="1" si="19"/>
        <v>10525</v>
      </c>
      <c r="H92" s="327">
        <f t="shared" ca="1" si="20"/>
        <v>10525</v>
      </c>
      <c r="I92" s="326" t="str">
        <f t="shared" ca="1" si="21"/>
        <v>800*600*2000</v>
      </c>
      <c r="J92" s="308" t="str">
        <f t="shared" ca="1" si="22"/>
        <v>预装式变电站</v>
      </c>
      <c r="K92" s="334"/>
    </row>
    <row r="93" spans="1:11" s="317" customFormat="1" ht="18.95" customHeight="1" x14ac:dyDescent="0.15">
      <c r="A93" s="322">
        <f ca="1">COUNTIF(J$65:J93,J93)-1</f>
        <v>27</v>
      </c>
      <c r="B93" s="323" t="str">
        <f t="shared" ca="1" si="14"/>
        <v>低压馈线柜</v>
      </c>
      <c r="C93" s="323" t="str">
        <f t="shared" ca="1" si="15"/>
        <v>GGD:5AA3.4</v>
      </c>
      <c r="D93" s="323" t="str">
        <f t="shared" ca="1" si="16"/>
        <v>5#</v>
      </c>
      <c r="E93" s="324" t="str">
        <f t="shared" ca="1" si="17"/>
        <v>台</v>
      </c>
      <c r="F93" s="325">
        <f t="shared" ca="1" si="18"/>
        <v>2</v>
      </c>
      <c r="G93" s="326">
        <f t="shared" ca="1" si="19"/>
        <v>9668</v>
      </c>
      <c r="H93" s="327">
        <f t="shared" ca="1" si="20"/>
        <v>19336</v>
      </c>
      <c r="I93" s="326" t="str">
        <f t="shared" ca="1" si="21"/>
        <v>1200*600*2000</v>
      </c>
      <c r="J93" s="314" t="str">
        <f t="shared" ca="1" si="22"/>
        <v>预装式变电站</v>
      </c>
      <c r="K93" s="316"/>
    </row>
    <row r="94" spans="1:11" s="317" customFormat="1" ht="18.95" customHeight="1" x14ac:dyDescent="0.15">
      <c r="A94" s="322">
        <f ca="1">COUNTIF(J$65:J94,J94)-1</f>
        <v>28</v>
      </c>
      <c r="B94" s="323" t="str">
        <f t="shared" ca="1" si="14"/>
        <v>箱体及辅助材料</v>
      </c>
      <c r="C94" s="323" t="str">
        <f t="shared" ca="1" si="15"/>
        <v>YBP:630KVA 10/0.4</v>
      </c>
      <c r="D94" s="323" t="str">
        <f t="shared" ca="1" si="16"/>
        <v>5#</v>
      </c>
      <c r="E94" s="324" t="str">
        <f t="shared" ca="1" si="17"/>
        <v>台</v>
      </c>
      <c r="F94" s="325">
        <f t="shared" ca="1" si="18"/>
        <v>1</v>
      </c>
      <c r="G94" s="326">
        <f t="shared" ca="1" si="19"/>
        <v>26384</v>
      </c>
      <c r="H94" s="327">
        <f t="shared" ca="1" si="20"/>
        <v>26384</v>
      </c>
      <c r="I94" s="326" t="str">
        <f t="shared" ca="1" si="21"/>
        <v>4400*2300*2650</v>
      </c>
      <c r="J94" s="314" t="str">
        <f t="shared" ca="1" si="22"/>
        <v>预装式变电站</v>
      </c>
      <c r="K94" s="316"/>
    </row>
    <row r="95" spans="1:11" s="317" customFormat="1" ht="18.95" customHeight="1" x14ac:dyDescent="0.15">
      <c r="A95" s="322">
        <f ca="1">COUNTIF(J$65:J95,J95)-1</f>
        <v>29</v>
      </c>
      <c r="B95" s="323" t="str">
        <f t="shared" ca="1" si="14"/>
        <v>高压进线柜</v>
      </c>
      <c r="C95" s="323" t="str">
        <f t="shared" ca="1" si="15"/>
        <v>HXGN:6AH1</v>
      </c>
      <c r="D95" s="323" t="str">
        <f t="shared" ca="1" si="16"/>
        <v>6#</v>
      </c>
      <c r="E95" s="324" t="str">
        <f t="shared" ca="1" si="17"/>
        <v>台</v>
      </c>
      <c r="F95" s="325">
        <f t="shared" ca="1" si="18"/>
        <v>1</v>
      </c>
      <c r="G95" s="326">
        <f t="shared" ca="1" si="19"/>
        <v>7552</v>
      </c>
      <c r="H95" s="327">
        <f t="shared" ca="1" si="20"/>
        <v>7552</v>
      </c>
      <c r="I95" s="326" t="str">
        <f t="shared" ca="1" si="21"/>
        <v>500*900*2000</v>
      </c>
      <c r="J95" s="308" t="str">
        <f t="shared" ca="1" si="22"/>
        <v>预装式变电站</v>
      </c>
      <c r="K95" s="334"/>
    </row>
    <row r="96" spans="1:11" s="317" customFormat="1" ht="18.95" customHeight="1" x14ac:dyDescent="0.15">
      <c r="A96" s="322">
        <f ca="1">COUNTIF(J$65:J96,J96)-1</f>
        <v>30</v>
      </c>
      <c r="B96" s="323" t="str">
        <f t="shared" ca="1" si="14"/>
        <v>高压馈线柜</v>
      </c>
      <c r="C96" s="323" t="str">
        <f t="shared" ca="1" si="15"/>
        <v>HXGN:6AH2</v>
      </c>
      <c r="D96" s="323" t="str">
        <f t="shared" ca="1" si="16"/>
        <v>6#</v>
      </c>
      <c r="E96" s="324" t="str">
        <f t="shared" ca="1" si="17"/>
        <v>台</v>
      </c>
      <c r="F96" s="325">
        <f t="shared" ca="1" si="18"/>
        <v>1</v>
      </c>
      <c r="G96" s="326">
        <f t="shared" ca="1" si="19"/>
        <v>6671</v>
      </c>
      <c r="H96" s="327">
        <f t="shared" ca="1" si="20"/>
        <v>6671</v>
      </c>
      <c r="I96" s="326" t="str">
        <f t="shared" ca="1" si="21"/>
        <v>800*900*2000</v>
      </c>
      <c r="J96" s="308" t="str">
        <f t="shared" ca="1" si="22"/>
        <v>预装式变电站</v>
      </c>
      <c r="K96" s="334"/>
    </row>
    <row r="97" spans="1:11" s="317" customFormat="1" ht="18.95" customHeight="1" x14ac:dyDescent="0.15">
      <c r="A97" s="322">
        <f ca="1">COUNTIF(J$65:J97,J97)-1</f>
        <v>31</v>
      </c>
      <c r="B97" s="323" t="str">
        <f t="shared" ca="1" si="14"/>
        <v>干式变压器</v>
      </c>
      <c r="C97" s="323" t="str">
        <f t="shared" ca="1" si="15"/>
        <v>SCB11-400KVA:T1</v>
      </c>
      <c r="D97" s="323" t="str">
        <f t="shared" ca="1" si="16"/>
        <v>6#</v>
      </c>
      <c r="E97" s="324" t="str">
        <f t="shared" ca="1" si="17"/>
        <v>台</v>
      </c>
      <c r="F97" s="325">
        <f t="shared" ca="1" si="18"/>
        <v>1</v>
      </c>
      <c r="G97" s="326">
        <f t="shared" ca="1" si="19"/>
        <v>30020</v>
      </c>
      <c r="H97" s="327">
        <f t="shared" ca="1" si="20"/>
        <v>30020</v>
      </c>
      <c r="I97" s="326" t="str">
        <f t="shared" ca="1" si="21"/>
        <v>全铝</v>
      </c>
      <c r="J97" s="314" t="str">
        <f ca="1">INDIRECT("J"&amp;ROW()-1)</f>
        <v>预装式变电站</v>
      </c>
      <c r="K97" s="316"/>
    </row>
    <row r="98" spans="1:11" s="317" customFormat="1" ht="18.95" customHeight="1" x14ac:dyDescent="0.15">
      <c r="A98" s="322">
        <f ca="1">COUNTIF(J$65:J98,J98)-1</f>
        <v>32</v>
      </c>
      <c r="B98" s="323" t="str">
        <f t="shared" ca="1" si="14"/>
        <v>低压进线柜</v>
      </c>
      <c r="C98" s="323" t="str">
        <f t="shared" ca="1" si="15"/>
        <v>GGD:6AA1</v>
      </c>
      <c r="D98" s="323" t="str">
        <f t="shared" ca="1" si="16"/>
        <v>6#</v>
      </c>
      <c r="E98" s="324" t="str">
        <f t="shared" ca="1" si="17"/>
        <v>台</v>
      </c>
      <c r="F98" s="325">
        <f t="shared" ca="1" si="18"/>
        <v>1</v>
      </c>
      <c r="G98" s="326">
        <f t="shared" ca="1" si="19"/>
        <v>10395</v>
      </c>
      <c r="H98" s="327">
        <f t="shared" ca="1" si="20"/>
        <v>10395</v>
      </c>
      <c r="I98" s="326" t="str">
        <f t="shared" ca="1" si="21"/>
        <v>800*600*2000</v>
      </c>
      <c r="J98" s="314" t="str">
        <f t="shared" ca="1" si="22"/>
        <v>预装式变电站</v>
      </c>
      <c r="K98" s="316"/>
    </row>
    <row r="99" spans="1:11" s="317" customFormat="1" ht="18.95" customHeight="1" x14ac:dyDescent="0.15">
      <c r="A99" s="322">
        <f ca="1">COUNTIF(J$65:J99,J99)-1</f>
        <v>33</v>
      </c>
      <c r="B99" s="323" t="str">
        <f t="shared" ca="1" si="14"/>
        <v>低压电容柜</v>
      </c>
      <c r="C99" s="323" t="str">
        <f t="shared" ca="1" si="15"/>
        <v>GGJ:6AA2</v>
      </c>
      <c r="D99" s="323" t="str">
        <f t="shared" ca="1" si="16"/>
        <v>6#</v>
      </c>
      <c r="E99" s="324" t="str">
        <f t="shared" ca="1" si="17"/>
        <v>台</v>
      </c>
      <c r="F99" s="325">
        <f t="shared" ca="1" si="18"/>
        <v>1</v>
      </c>
      <c r="G99" s="326">
        <f t="shared" ca="1" si="19"/>
        <v>9652</v>
      </c>
      <c r="H99" s="327">
        <f t="shared" ca="1" si="20"/>
        <v>9652</v>
      </c>
      <c r="I99" s="326" t="str">
        <f t="shared" ca="1" si="21"/>
        <v>800*600*2000</v>
      </c>
      <c r="J99" s="314" t="str">
        <f t="shared" ca="1" si="22"/>
        <v>预装式变电站</v>
      </c>
      <c r="K99" s="316"/>
    </row>
    <row r="100" spans="1:11" s="317" customFormat="1" ht="18.95" customHeight="1" x14ac:dyDescent="0.15">
      <c r="A100" s="322">
        <f ca="1">COUNTIF(J$65:J100,J100)-1</f>
        <v>34</v>
      </c>
      <c r="B100" s="323" t="str">
        <f t="shared" ca="1" si="14"/>
        <v>低压馈线柜</v>
      </c>
      <c r="C100" s="323" t="str">
        <f t="shared" ca="1" si="15"/>
        <v>GGD:6AA3</v>
      </c>
      <c r="D100" s="323" t="str">
        <f t="shared" ca="1" si="16"/>
        <v>6#</v>
      </c>
      <c r="E100" s="324" t="str">
        <f t="shared" ca="1" si="17"/>
        <v>台</v>
      </c>
      <c r="F100" s="325">
        <f t="shared" ca="1" si="18"/>
        <v>1</v>
      </c>
      <c r="G100" s="326">
        <f t="shared" ca="1" si="19"/>
        <v>7671</v>
      </c>
      <c r="H100" s="327">
        <f t="shared" ca="1" si="20"/>
        <v>7671</v>
      </c>
      <c r="I100" s="326" t="str">
        <f t="shared" ca="1" si="21"/>
        <v>1200*600*2000</v>
      </c>
      <c r="J100" s="308" t="str">
        <f t="shared" ca="1" si="22"/>
        <v>预装式变电站</v>
      </c>
      <c r="K100" s="334"/>
    </row>
    <row r="101" spans="1:11" s="317" customFormat="1" ht="18.95" customHeight="1" x14ac:dyDescent="0.15">
      <c r="A101" s="322">
        <f ca="1">COUNTIF(J$65:J101,J101)-1</f>
        <v>35</v>
      </c>
      <c r="B101" s="323" t="str">
        <f t="shared" ca="1" si="14"/>
        <v>箱体及辅助材料</v>
      </c>
      <c r="C101" s="323" t="str">
        <f t="shared" ca="1" si="15"/>
        <v>YBP:400KVA 10/0.4</v>
      </c>
      <c r="D101" s="323" t="str">
        <f t="shared" ca="1" si="16"/>
        <v>6#</v>
      </c>
      <c r="E101" s="324" t="str">
        <f t="shared" ca="1" si="17"/>
        <v>台</v>
      </c>
      <c r="F101" s="325">
        <f t="shared" ca="1" si="18"/>
        <v>1</v>
      </c>
      <c r="G101" s="326">
        <f t="shared" ca="1" si="19"/>
        <v>20521</v>
      </c>
      <c r="H101" s="327">
        <f t="shared" ca="1" si="20"/>
        <v>20521</v>
      </c>
      <c r="I101" s="326" t="str">
        <f t="shared" ca="1" si="21"/>
        <v>3700*2200*2650</v>
      </c>
      <c r="J101" s="308" t="str">
        <f t="shared" ca="1" si="22"/>
        <v>预装式变电站</v>
      </c>
      <c r="K101" s="334"/>
    </row>
    <row r="102" spans="1:11" s="317" customFormat="1" ht="18.95" customHeight="1" x14ac:dyDescent="0.15">
      <c r="A102" s="322">
        <f ca="1">COUNTIF(J$65:J102,J102)-1</f>
        <v>36</v>
      </c>
      <c r="B102" s="323" t="str">
        <f t="shared" ca="1" si="14"/>
        <v>高压进线柜</v>
      </c>
      <c r="C102" s="323" t="str">
        <f t="shared" ca="1" si="15"/>
        <v>HXGN:7AH1</v>
      </c>
      <c r="D102" s="323" t="str">
        <f t="shared" ca="1" si="16"/>
        <v>7#</v>
      </c>
      <c r="E102" s="324" t="str">
        <f t="shared" ca="1" si="17"/>
        <v>台</v>
      </c>
      <c r="F102" s="325">
        <f t="shared" ca="1" si="18"/>
        <v>1</v>
      </c>
      <c r="G102" s="326">
        <f t="shared" ca="1" si="19"/>
        <v>7552</v>
      </c>
      <c r="H102" s="327">
        <f t="shared" ca="1" si="20"/>
        <v>7552</v>
      </c>
      <c r="I102" s="326" t="str">
        <f t="shared" ca="1" si="21"/>
        <v>500*900*2000</v>
      </c>
      <c r="J102" s="314" t="str">
        <f t="shared" ca="1" si="22"/>
        <v>预装式变电站</v>
      </c>
      <c r="K102" s="316"/>
    </row>
    <row r="103" spans="1:11" s="317" customFormat="1" ht="18.95" customHeight="1" x14ac:dyDescent="0.15">
      <c r="A103" s="322">
        <f ca="1">COUNTIF(J$65:J103,J103)-1</f>
        <v>37</v>
      </c>
      <c r="B103" s="323" t="str">
        <f t="shared" ca="1" si="14"/>
        <v>高压馈线柜</v>
      </c>
      <c r="C103" s="323" t="str">
        <f t="shared" ca="1" si="15"/>
        <v>HXGN:7AH2</v>
      </c>
      <c r="D103" s="323" t="str">
        <f t="shared" ca="1" si="16"/>
        <v>7#</v>
      </c>
      <c r="E103" s="324" t="str">
        <f t="shared" ca="1" si="17"/>
        <v>台</v>
      </c>
      <c r="F103" s="325">
        <f t="shared" ca="1" si="18"/>
        <v>1</v>
      </c>
      <c r="G103" s="326">
        <f t="shared" ca="1" si="19"/>
        <v>6671</v>
      </c>
      <c r="H103" s="327">
        <f t="shared" ca="1" si="20"/>
        <v>6671</v>
      </c>
      <c r="I103" s="326" t="str">
        <f t="shared" ca="1" si="21"/>
        <v>800*900*2000</v>
      </c>
      <c r="J103" s="314" t="str">
        <f t="shared" ca="1" si="22"/>
        <v>预装式变电站</v>
      </c>
      <c r="K103" s="316"/>
    </row>
    <row r="104" spans="1:11" s="317" customFormat="1" ht="18.95" customHeight="1" x14ac:dyDescent="0.15">
      <c r="A104" s="322">
        <f ca="1">COUNTIF(J$65:J104,J104)-1</f>
        <v>38</v>
      </c>
      <c r="B104" s="323" t="str">
        <f t="shared" ca="1" si="14"/>
        <v>干式变压器</v>
      </c>
      <c r="C104" s="323" t="str">
        <f t="shared" ca="1" si="15"/>
        <v>SCB11-500KVA:T1</v>
      </c>
      <c r="D104" s="323" t="str">
        <f t="shared" ca="1" si="16"/>
        <v>7#</v>
      </c>
      <c r="E104" s="324" t="str">
        <f t="shared" ca="1" si="17"/>
        <v>台</v>
      </c>
      <c r="F104" s="325">
        <f t="shared" ca="1" si="18"/>
        <v>1</v>
      </c>
      <c r="G104" s="326">
        <f t="shared" ca="1" si="19"/>
        <v>33630</v>
      </c>
      <c r="H104" s="327">
        <f t="shared" ca="1" si="20"/>
        <v>33630</v>
      </c>
      <c r="I104" s="326" t="str">
        <f t="shared" ca="1" si="21"/>
        <v>全铝</v>
      </c>
      <c r="J104" s="308" t="str">
        <f t="shared" ca="1" si="22"/>
        <v>预装式变电站</v>
      </c>
      <c r="K104" s="334"/>
    </row>
    <row r="105" spans="1:11" s="317" customFormat="1" ht="18.95" customHeight="1" x14ac:dyDescent="0.15">
      <c r="A105" s="322">
        <f ca="1">COUNTIF(J$65:J105,J105)-1</f>
        <v>39</v>
      </c>
      <c r="B105" s="323" t="str">
        <f t="shared" ca="1" si="14"/>
        <v>低压进线柜</v>
      </c>
      <c r="C105" s="323" t="str">
        <f t="shared" ca="1" si="15"/>
        <v>GGD:7AA1</v>
      </c>
      <c r="D105" s="323" t="str">
        <f t="shared" ca="1" si="16"/>
        <v>7#</v>
      </c>
      <c r="E105" s="324" t="str">
        <f t="shared" ca="1" si="17"/>
        <v>台</v>
      </c>
      <c r="F105" s="325">
        <f t="shared" ca="1" si="18"/>
        <v>1</v>
      </c>
      <c r="G105" s="326">
        <f t="shared" ca="1" si="19"/>
        <v>11665</v>
      </c>
      <c r="H105" s="327">
        <f t="shared" ca="1" si="20"/>
        <v>11665</v>
      </c>
      <c r="I105" s="326" t="str">
        <f t="shared" ca="1" si="21"/>
        <v>800*600*2000</v>
      </c>
      <c r="J105" s="314" t="str">
        <f t="shared" ca="1" si="22"/>
        <v>预装式变电站</v>
      </c>
      <c r="K105" s="316"/>
    </row>
    <row r="106" spans="1:11" s="317" customFormat="1" ht="18.95" customHeight="1" x14ac:dyDescent="0.15">
      <c r="A106" s="322">
        <f ca="1">COUNTIF(J$65:J106,J106)-1</f>
        <v>40</v>
      </c>
      <c r="B106" s="323" t="str">
        <f t="shared" ca="1" si="14"/>
        <v>低压电容柜</v>
      </c>
      <c r="C106" s="323" t="str">
        <f t="shared" ca="1" si="15"/>
        <v>GGJ:7AA2</v>
      </c>
      <c r="D106" s="323" t="str">
        <f t="shared" ca="1" si="16"/>
        <v>7#</v>
      </c>
      <c r="E106" s="324" t="str">
        <f t="shared" ca="1" si="17"/>
        <v>台</v>
      </c>
      <c r="F106" s="325">
        <f t="shared" ca="1" si="18"/>
        <v>1</v>
      </c>
      <c r="G106" s="326">
        <f t="shared" ca="1" si="19"/>
        <v>9117</v>
      </c>
      <c r="H106" s="327">
        <f t="shared" ca="1" si="20"/>
        <v>9117</v>
      </c>
      <c r="I106" s="326" t="str">
        <f t="shared" ca="1" si="21"/>
        <v>800*600*2000</v>
      </c>
      <c r="J106" s="308" t="str">
        <f t="shared" ca="1" si="22"/>
        <v>预装式变电站</v>
      </c>
      <c r="K106" s="334"/>
    </row>
    <row r="107" spans="1:11" s="317" customFormat="1" ht="18.95" customHeight="1" x14ac:dyDescent="0.15">
      <c r="A107" s="322">
        <f ca="1">COUNTIF(J$65:J107,J107)-1</f>
        <v>41</v>
      </c>
      <c r="B107" s="323" t="str">
        <f t="shared" ca="1" si="14"/>
        <v>低压馈线柜</v>
      </c>
      <c r="C107" s="323" t="str">
        <f t="shared" ca="1" si="15"/>
        <v>GGD:7AA3.4</v>
      </c>
      <c r="D107" s="323" t="str">
        <f t="shared" ca="1" si="16"/>
        <v>7#</v>
      </c>
      <c r="E107" s="324" t="str">
        <f t="shared" ca="1" si="17"/>
        <v>台</v>
      </c>
      <c r="F107" s="325">
        <f t="shared" ca="1" si="18"/>
        <v>2</v>
      </c>
      <c r="G107" s="326">
        <f t="shared" ca="1" si="19"/>
        <v>8797</v>
      </c>
      <c r="H107" s="327">
        <f t="shared" ca="1" si="20"/>
        <v>17594</v>
      </c>
      <c r="I107" s="326" t="str">
        <f t="shared" ca="1" si="21"/>
        <v>1200*600*2000</v>
      </c>
      <c r="J107" s="308" t="str">
        <f t="shared" ca="1" si="22"/>
        <v>预装式变电站</v>
      </c>
      <c r="K107" s="334"/>
    </row>
    <row r="108" spans="1:11" s="317" customFormat="1" ht="18.95" customHeight="1" x14ac:dyDescent="0.15">
      <c r="A108" s="322">
        <f ca="1">COUNTIF(J$65:J108,J108)-1</f>
        <v>42</v>
      </c>
      <c r="B108" s="323" t="str">
        <f t="shared" ca="1" si="14"/>
        <v>箱体及辅助材料</v>
      </c>
      <c r="C108" s="323" t="str">
        <f t="shared" ca="1" si="15"/>
        <v>YBP:500KVA 10/0.4</v>
      </c>
      <c r="D108" s="323" t="str">
        <f t="shared" ca="1" si="16"/>
        <v>7#</v>
      </c>
      <c r="E108" s="324" t="str">
        <f t="shared" ca="1" si="17"/>
        <v>台</v>
      </c>
      <c r="F108" s="325">
        <f t="shared" ca="1" si="18"/>
        <v>1</v>
      </c>
      <c r="G108" s="326">
        <f t="shared" ca="1" si="19"/>
        <v>24745</v>
      </c>
      <c r="H108" s="327">
        <f t="shared" ca="1" si="20"/>
        <v>24745</v>
      </c>
      <c r="I108" s="326" t="str">
        <f t="shared" ca="1" si="21"/>
        <v>4400*2300*2650</v>
      </c>
      <c r="J108" s="314" t="str">
        <f t="shared" ca="1" si="22"/>
        <v>预装式变电站</v>
      </c>
      <c r="K108" s="316"/>
    </row>
    <row r="109" spans="1:11" s="317" customFormat="1" ht="18.95" customHeight="1" x14ac:dyDescent="0.15">
      <c r="A109" s="322">
        <f ca="1">COUNTIF(J$65:J109,J109)-1</f>
        <v>43</v>
      </c>
      <c r="B109" s="323" t="str">
        <f t="shared" ca="1" si="14"/>
        <v>高压进线柜</v>
      </c>
      <c r="C109" s="323" t="str">
        <f t="shared" ca="1" si="15"/>
        <v>HXGN:8AH1</v>
      </c>
      <c r="D109" s="323" t="str">
        <f t="shared" ca="1" si="16"/>
        <v>8#</v>
      </c>
      <c r="E109" s="324" t="str">
        <f t="shared" ca="1" si="17"/>
        <v>台</v>
      </c>
      <c r="F109" s="325">
        <f t="shared" ca="1" si="18"/>
        <v>1</v>
      </c>
      <c r="G109" s="326">
        <f t="shared" ca="1" si="19"/>
        <v>7552</v>
      </c>
      <c r="H109" s="327">
        <f t="shared" ca="1" si="20"/>
        <v>7552</v>
      </c>
      <c r="I109" s="326" t="str">
        <f t="shared" ca="1" si="21"/>
        <v>500*900*2000</v>
      </c>
      <c r="J109" s="314" t="str">
        <f t="shared" ca="1" si="22"/>
        <v>预装式变电站</v>
      </c>
      <c r="K109" s="316"/>
    </row>
    <row r="110" spans="1:11" s="317" customFormat="1" ht="18.95" customHeight="1" x14ac:dyDescent="0.15">
      <c r="A110" s="322">
        <f ca="1">COUNTIF(J$65:J110,J110)-1</f>
        <v>44</v>
      </c>
      <c r="B110" s="323" t="str">
        <f t="shared" ca="1" si="14"/>
        <v>高压馈线柜</v>
      </c>
      <c r="C110" s="323" t="str">
        <f t="shared" ca="1" si="15"/>
        <v>HXGN:8AH2</v>
      </c>
      <c r="D110" s="323" t="str">
        <f t="shared" ca="1" si="16"/>
        <v>8#</v>
      </c>
      <c r="E110" s="324" t="str">
        <f t="shared" ca="1" si="17"/>
        <v>台</v>
      </c>
      <c r="F110" s="325">
        <f t="shared" ca="1" si="18"/>
        <v>1</v>
      </c>
      <c r="G110" s="326">
        <f t="shared" ca="1" si="19"/>
        <v>6671</v>
      </c>
      <c r="H110" s="327">
        <f t="shared" ca="1" si="20"/>
        <v>6671</v>
      </c>
      <c r="I110" s="326" t="str">
        <f t="shared" ca="1" si="21"/>
        <v>800*900*2000</v>
      </c>
      <c r="J110" s="308" t="str">
        <f t="shared" ca="1" si="22"/>
        <v>预装式变电站</v>
      </c>
      <c r="K110" s="334"/>
    </row>
    <row r="111" spans="1:11" s="317" customFormat="1" ht="18.95" customHeight="1" x14ac:dyDescent="0.15">
      <c r="A111" s="322">
        <f ca="1">COUNTIF(J$65:J111,J111)-1</f>
        <v>45</v>
      </c>
      <c r="B111" s="323" t="str">
        <f t="shared" ca="1" si="14"/>
        <v>干式变压器</v>
      </c>
      <c r="C111" s="323" t="str">
        <f t="shared" ca="1" si="15"/>
        <v>SCB11-500KVA:T1</v>
      </c>
      <c r="D111" s="323" t="str">
        <f t="shared" ca="1" si="16"/>
        <v>8#</v>
      </c>
      <c r="E111" s="324" t="str">
        <f t="shared" ca="1" si="17"/>
        <v>台</v>
      </c>
      <c r="F111" s="325">
        <f t="shared" ca="1" si="18"/>
        <v>1</v>
      </c>
      <c r="G111" s="326">
        <f t="shared" ca="1" si="19"/>
        <v>33630</v>
      </c>
      <c r="H111" s="327">
        <f t="shared" ca="1" si="20"/>
        <v>33630</v>
      </c>
      <c r="I111" s="326" t="str">
        <f t="shared" ca="1" si="21"/>
        <v>全铝</v>
      </c>
      <c r="J111" s="308" t="str">
        <f t="shared" ca="1" si="22"/>
        <v>预装式变电站</v>
      </c>
      <c r="K111" s="334"/>
    </row>
    <row r="112" spans="1:11" s="317" customFormat="1" ht="18.95" customHeight="1" x14ac:dyDescent="0.15">
      <c r="A112" s="322">
        <f ca="1">COUNTIF(J$65:J112,J112)-1</f>
        <v>46</v>
      </c>
      <c r="B112" s="323" t="str">
        <f t="shared" ca="1" si="14"/>
        <v>低压进线柜</v>
      </c>
      <c r="C112" s="323" t="str">
        <f t="shared" ca="1" si="15"/>
        <v>GGD:8AA1</v>
      </c>
      <c r="D112" s="323" t="str">
        <f t="shared" ca="1" si="16"/>
        <v>8#</v>
      </c>
      <c r="E112" s="324" t="str">
        <f t="shared" ca="1" si="17"/>
        <v>台</v>
      </c>
      <c r="F112" s="325">
        <f t="shared" ca="1" si="18"/>
        <v>1</v>
      </c>
      <c r="G112" s="326">
        <f t="shared" ca="1" si="19"/>
        <v>11665</v>
      </c>
      <c r="H112" s="327">
        <f t="shared" ca="1" si="20"/>
        <v>11665</v>
      </c>
      <c r="I112" s="326" t="str">
        <f t="shared" ca="1" si="21"/>
        <v>800*600*2000</v>
      </c>
      <c r="J112" s="314" t="str">
        <f ca="1">INDIRECT("J"&amp;ROW()-1)</f>
        <v>预装式变电站</v>
      </c>
      <c r="K112" s="316"/>
    </row>
    <row r="113" spans="1:11" s="317" customFormat="1" ht="18.95" customHeight="1" x14ac:dyDescent="0.15">
      <c r="A113" s="322">
        <f ca="1">COUNTIF(J$65:J113,J113)-1</f>
        <v>47</v>
      </c>
      <c r="B113" s="323" t="str">
        <f t="shared" ca="1" si="14"/>
        <v>低压电容柜</v>
      </c>
      <c r="C113" s="323" t="str">
        <f t="shared" ca="1" si="15"/>
        <v>GGJ:8AA2</v>
      </c>
      <c r="D113" s="323" t="str">
        <f t="shared" ca="1" si="16"/>
        <v>8#</v>
      </c>
      <c r="E113" s="324" t="str">
        <f t="shared" ca="1" si="17"/>
        <v>台</v>
      </c>
      <c r="F113" s="325">
        <f t="shared" ca="1" si="18"/>
        <v>1</v>
      </c>
      <c r="G113" s="326">
        <f t="shared" ca="1" si="19"/>
        <v>9117</v>
      </c>
      <c r="H113" s="327">
        <f t="shared" ca="1" si="20"/>
        <v>9117</v>
      </c>
      <c r="I113" s="326" t="str">
        <f t="shared" ca="1" si="21"/>
        <v>800*600*2000</v>
      </c>
      <c r="J113" s="314" t="str">
        <f t="shared" ca="1" si="22"/>
        <v>预装式变电站</v>
      </c>
      <c r="K113" s="316"/>
    </row>
    <row r="114" spans="1:11" s="317" customFormat="1" ht="18.95" customHeight="1" x14ac:dyDescent="0.15">
      <c r="A114" s="322">
        <f ca="1">COUNTIF(J$65:J114,J114)-1</f>
        <v>48</v>
      </c>
      <c r="B114" s="323" t="str">
        <f t="shared" ca="1" si="14"/>
        <v>低压馈线柜</v>
      </c>
      <c r="C114" s="323" t="str">
        <f t="shared" ca="1" si="15"/>
        <v>GGD:8AA3.4</v>
      </c>
      <c r="D114" s="323" t="str">
        <f t="shared" ca="1" si="16"/>
        <v>8#</v>
      </c>
      <c r="E114" s="324" t="str">
        <f t="shared" ca="1" si="17"/>
        <v>台</v>
      </c>
      <c r="F114" s="325">
        <f t="shared" ca="1" si="18"/>
        <v>2</v>
      </c>
      <c r="G114" s="326">
        <f t="shared" ca="1" si="19"/>
        <v>8797</v>
      </c>
      <c r="H114" s="327">
        <f t="shared" ca="1" si="20"/>
        <v>17594</v>
      </c>
      <c r="I114" s="326" t="str">
        <f t="shared" ca="1" si="21"/>
        <v>1200*600*2000</v>
      </c>
      <c r="J114" s="314" t="str">
        <f t="shared" ca="1" si="22"/>
        <v>预装式变电站</v>
      </c>
      <c r="K114" s="316"/>
    </row>
    <row r="115" spans="1:11" s="317" customFormat="1" ht="18.95" customHeight="1" x14ac:dyDescent="0.15">
      <c r="A115" s="322">
        <f ca="1">COUNTIF(J$65:J115,J115)-1</f>
        <v>49</v>
      </c>
      <c r="B115" s="323" t="str">
        <f t="shared" ca="1" si="14"/>
        <v>箱体及辅助材料</v>
      </c>
      <c r="C115" s="323" t="str">
        <f t="shared" ca="1" si="15"/>
        <v>YBP:500KVA 10/0.4</v>
      </c>
      <c r="D115" s="323" t="str">
        <f t="shared" ca="1" si="16"/>
        <v>8#</v>
      </c>
      <c r="E115" s="324" t="str">
        <f t="shared" ca="1" si="17"/>
        <v>台</v>
      </c>
      <c r="F115" s="325">
        <f t="shared" ca="1" si="18"/>
        <v>1</v>
      </c>
      <c r="G115" s="326">
        <f t="shared" ca="1" si="19"/>
        <v>24745</v>
      </c>
      <c r="H115" s="327">
        <f t="shared" ca="1" si="20"/>
        <v>24745</v>
      </c>
      <c r="I115" s="326" t="str">
        <f t="shared" ca="1" si="21"/>
        <v>4400*2300*2650</v>
      </c>
      <c r="J115" s="308" t="str">
        <f t="shared" ca="1" si="22"/>
        <v>预装式变电站</v>
      </c>
      <c r="K115" s="334"/>
    </row>
    <row r="116" spans="1:11" s="317" customFormat="1" ht="18.95" customHeight="1" x14ac:dyDescent="0.15">
      <c r="A116" s="322">
        <f ca="1">COUNTIF(J$65:J116,J116)-1</f>
        <v>50</v>
      </c>
      <c r="B116" s="323" t="str">
        <f t="shared" ca="1" si="14"/>
        <v>高压进线柜</v>
      </c>
      <c r="C116" s="323" t="str">
        <f t="shared" ca="1" si="15"/>
        <v>HXGN:9AH1</v>
      </c>
      <c r="D116" s="323" t="str">
        <f t="shared" ca="1" si="16"/>
        <v>9#</v>
      </c>
      <c r="E116" s="324" t="str">
        <f t="shared" ca="1" si="17"/>
        <v>台</v>
      </c>
      <c r="F116" s="325">
        <f t="shared" ca="1" si="18"/>
        <v>1</v>
      </c>
      <c r="G116" s="326">
        <f t="shared" ca="1" si="19"/>
        <v>7552</v>
      </c>
      <c r="H116" s="327">
        <f t="shared" ca="1" si="20"/>
        <v>7552</v>
      </c>
      <c r="I116" s="326" t="str">
        <f t="shared" ca="1" si="21"/>
        <v>500*900*2000</v>
      </c>
      <c r="J116" s="308" t="str">
        <f t="shared" ca="1" si="22"/>
        <v>预装式变电站</v>
      </c>
      <c r="K116" s="334"/>
    </row>
    <row r="117" spans="1:11" s="317" customFormat="1" ht="18.95" customHeight="1" x14ac:dyDescent="0.15">
      <c r="A117" s="322">
        <f ca="1">COUNTIF(J$65:J117,J117)-1</f>
        <v>51</v>
      </c>
      <c r="B117" s="323" t="str">
        <f t="shared" ca="1" si="14"/>
        <v>高压馈线柜</v>
      </c>
      <c r="C117" s="323" t="str">
        <f t="shared" ca="1" si="15"/>
        <v>HXGN:9AH2</v>
      </c>
      <c r="D117" s="323" t="str">
        <f t="shared" ca="1" si="16"/>
        <v>9#</v>
      </c>
      <c r="E117" s="324" t="str">
        <f t="shared" ca="1" si="17"/>
        <v>台</v>
      </c>
      <c r="F117" s="325">
        <f t="shared" ca="1" si="18"/>
        <v>1</v>
      </c>
      <c r="G117" s="326">
        <f t="shared" ca="1" si="19"/>
        <v>6671</v>
      </c>
      <c r="H117" s="327">
        <f t="shared" ca="1" si="20"/>
        <v>6671</v>
      </c>
      <c r="I117" s="326" t="str">
        <f t="shared" ca="1" si="21"/>
        <v>800*900*2000</v>
      </c>
      <c r="J117" s="314" t="str">
        <f t="shared" ca="1" si="22"/>
        <v>预装式变电站</v>
      </c>
      <c r="K117" s="316"/>
    </row>
    <row r="118" spans="1:11" s="317" customFormat="1" ht="18.95" customHeight="1" x14ac:dyDescent="0.15">
      <c r="A118" s="322">
        <f ca="1">COUNTIF(J$65:J118,J118)-1</f>
        <v>52</v>
      </c>
      <c r="B118" s="323" t="str">
        <f t="shared" ca="1" si="14"/>
        <v>干式变压器</v>
      </c>
      <c r="C118" s="323" t="str">
        <f t="shared" ca="1" si="15"/>
        <v>SCB11-500KVA:T1</v>
      </c>
      <c r="D118" s="323" t="str">
        <f t="shared" ca="1" si="16"/>
        <v>9#</v>
      </c>
      <c r="E118" s="324" t="str">
        <f t="shared" ca="1" si="17"/>
        <v>台</v>
      </c>
      <c r="F118" s="325">
        <f t="shared" ca="1" si="18"/>
        <v>1</v>
      </c>
      <c r="G118" s="326">
        <f t="shared" ca="1" si="19"/>
        <v>33630</v>
      </c>
      <c r="H118" s="327">
        <f t="shared" ca="1" si="20"/>
        <v>33630</v>
      </c>
      <c r="I118" s="326" t="str">
        <f t="shared" ca="1" si="21"/>
        <v>全铝</v>
      </c>
      <c r="J118" s="314" t="str">
        <f t="shared" ca="1" si="22"/>
        <v>预装式变电站</v>
      </c>
      <c r="K118" s="316"/>
    </row>
    <row r="119" spans="1:11" s="317" customFormat="1" ht="18.95" customHeight="1" x14ac:dyDescent="0.15">
      <c r="A119" s="322">
        <f ca="1">COUNTIF(J$65:J119,J119)-1</f>
        <v>53</v>
      </c>
      <c r="B119" s="323" t="str">
        <f t="shared" ca="1" si="14"/>
        <v>低压进线柜</v>
      </c>
      <c r="C119" s="323" t="str">
        <f t="shared" ca="1" si="15"/>
        <v>GGD:9AA1</v>
      </c>
      <c r="D119" s="323" t="str">
        <f t="shared" ca="1" si="16"/>
        <v>9#</v>
      </c>
      <c r="E119" s="324" t="str">
        <f t="shared" ca="1" si="17"/>
        <v>台</v>
      </c>
      <c r="F119" s="325">
        <f t="shared" ca="1" si="18"/>
        <v>1</v>
      </c>
      <c r="G119" s="326">
        <f t="shared" ca="1" si="19"/>
        <v>11665</v>
      </c>
      <c r="H119" s="327">
        <f t="shared" ca="1" si="20"/>
        <v>11665</v>
      </c>
      <c r="I119" s="326" t="str">
        <f t="shared" ca="1" si="21"/>
        <v>800*600*2000</v>
      </c>
      <c r="J119" s="308" t="str">
        <f t="shared" ca="1" si="22"/>
        <v>预装式变电站</v>
      </c>
      <c r="K119" s="334"/>
    </row>
    <row r="120" spans="1:11" s="317" customFormat="1" ht="18.95" customHeight="1" x14ac:dyDescent="0.15">
      <c r="A120" s="322">
        <f ca="1">COUNTIF(J$65:J120,J120)-1</f>
        <v>54</v>
      </c>
      <c r="B120" s="323" t="str">
        <f t="shared" ca="1" si="14"/>
        <v>低压电容柜</v>
      </c>
      <c r="C120" s="323" t="str">
        <f t="shared" ca="1" si="15"/>
        <v>GGJ:9AA2</v>
      </c>
      <c r="D120" s="323" t="str">
        <f t="shared" ca="1" si="16"/>
        <v>9#</v>
      </c>
      <c r="E120" s="324" t="str">
        <f t="shared" ca="1" si="17"/>
        <v>台</v>
      </c>
      <c r="F120" s="325">
        <f t="shared" ca="1" si="18"/>
        <v>1</v>
      </c>
      <c r="G120" s="326">
        <f t="shared" ca="1" si="19"/>
        <v>9117</v>
      </c>
      <c r="H120" s="327">
        <f t="shared" ca="1" si="20"/>
        <v>9117</v>
      </c>
      <c r="I120" s="326" t="str">
        <f t="shared" ca="1" si="21"/>
        <v>800*600*2000</v>
      </c>
      <c r="J120" s="314" t="str">
        <f t="shared" ca="1" si="22"/>
        <v>预装式变电站</v>
      </c>
      <c r="K120" s="316"/>
    </row>
    <row r="121" spans="1:11" s="317" customFormat="1" ht="18.95" customHeight="1" x14ac:dyDescent="0.15">
      <c r="A121" s="322">
        <f ca="1">COUNTIF(J$65:J121,J121)-1</f>
        <v>55</v>
      </c>
      <c r="B121" s="323" t="str">
        <f t="shared" ca="1" si="14"/>
        <v>低压馈线柜</v>
      </c>
      <c r="C121" s="323" t="str">
        <f t="shared" ca="1" si="15"/>
        <v>GGD:9AA3.4</v>
      </c>
      <c r="D121" s="323" t="str">
        <f t="shared" ca="1" si="16"/>
        <v>9#</v>
      </c>
      <c r="E121" s="324" t="str">
        <f t="shared" ca="1" si="17"/>
        <v>台</v>
      </c>
      <c r="F121" s="325">
        <f t="shared" ca="1" si="18"/>
        <v>2</v>
      </c>
      <c r="G121" s="326">
        <f t="shared" ca="1" si="19"/>
        <v>8797</v>
      </c>
      <c r="H121" s="327">
        <f t="shared" ca="1" si="20"/>
        <v>17594</v>
      </c>
      <c r="I121" s="326" t="str">
        <f t="shared" ca="1" si="21"/>
        <v>1200*600*2000</v>
      </c>
      <c r="J121" s="308" t="str">
        <f t="shared" ca="1" si="22"/>
        <v>预装式变电站</v>
      </c>
      <c r="K121" s="334"/>
    </row>
    <row r="122" spans="1:11" s="317" customFormat="1" ht="18.95" customHeight="1" x14ac:dyDescent="0.15">
      <c r="A122" s="322">
        <f ca="1">COUNTIF(J$65:J122,J122)-1</f>
        <v>56</v>
      </c>
      <c r="B122" s="323" t="str">
        <f t="shared" ca="1" si="14"/>
        <v>箱体及辅助材料</v>
      </c>
      <c r="C122" s="323" t="str">
        <f t="shared" ca="1" si="15"/>
        <v>YBP:500KVA 10/0.4</v>
      </c>
      <c r="D122" s="323" t="str">
        <f t="shared" ca="1" si="16"/>
        <v>9#</v>
      </c>
      <c r="E122" s="324" t="str">
        <f t="shared" ca="1" si="17"/>
        <v>台</v>
      </c>
      <c r="F122" s="325">
        <f t="shared" ca="1" si="18"/>
        <v>1</v>
      </c>
      <c r="G122" s="326">
        <f t="shared" ca="1" si="19"/>
        <v>24745</v>
      </c>
      <c r="H122" s="327">
        <f t="shared" ca="1" si="20"/>
        <v>24745</v>
      </c>
      <c r="I122" s="326" t="str">
        <f t="shared" ca="1" si="21"/>
        <v>4400*2300*2650</v>
      </c>
      <c r="J122" s="308" t="str">
        <f t="shared" ca="1" si="22"/>
        <v>预装式变电站</v>
      </c>
      <c r="K122" s="334"/>
    </row>
    <row r="123" spans="1:11" s="317" customFormat="1" ht="18.95" customHeight="1" x14ac:dyDescent="0.15">
      <c r="A123" s="322">
        <f ca="1">COUNTIF(J$65:J123,J123)-1</f>
        <v>57</v>
      </c>
      <c r="B123" s="323" t="str">
        <f t="shared" ca="1" si="14"/>
        <v/>
      </c>
      <c r="C123" s="323" t="str">
        <f t="shared" ca="1" si="15"/>
        <v/>
      </c>
      <c r="D123" s="323" t="str">
        <f t="shared" ca="1" si="16"/>
        <v/>
      </c>
      <c r="E123" s="324" t="str">
        <f t="shared" ca="1" si="17"/>
        <v/>
      </c>
      <c r="F123" s="325" t="str">
        <f t="shared" ca="1" si="18"/>
        <v/>
      </c>
      <c r="G123" s="326" t="str">
        <f t="shared" ca="1" si="19"/>
        <v/>
      </c>
      <c r="H123" s="327" t="str">
        <f t="shared" ca="1" si="20"/>
        <v/>
      </c>
      <c r="I123" s="326" t="str">
        <f t="shared" ca="1" si="21"/>
        <v/>
      </c>
      <c r="J123" s="314" t="str">
        <f t="shared" ca="1" si="22"/>
        <v>预装式变电站</v>
      </c>
      <c r="K123" s="316"/>
    </row>
    <row r="124" spans="1:11" s="317" customFormat="1" ht="18.95" customHeight="1" x14ac:dyDescent="0.15">
      <c r="A124" s="322">
        <f ca="1">COUNTIF(J$65:J124,J124)-1</f>
        <v>58</v>
      </c>
      <c r="B124" s="323" t="str">
        <f t="shared" ca="1" si="14"/>
        <v/>
      </c>
      <c r="C124" s="323" t="str">
        <f t="shared" ca="1" si="15"/>
        <v/>
      </c>
      <c r="D124" s="323" t="str">
        <f t="shared" ca="1" si="16"/>
        <v/>
      </c>
      <c r="E124" s="324" t="str">
        <f t="shared" ca="1" si="17"/>
        <v/>
      </c>
      <c r="F124" s="325" t="str">
        <f t="shared" ca="1" si="18"/>
        <v/>
      </c>
      <c r="G124" s="326" t="str">
        <f t="shared" ca="1" si="19"/>
        <v/>
      </c>
      <c r="H124" s="327" t="str">
        <f t="shared" ca="1" si="20"/>
        <v/>
      </c>
      <c r="I124" s="326" t="str">
        <f t="shared" ca="1" si="21"/>
        <v/>
      </c>
      <c r="J124" s="314" t="str">
        <f t="shared" ca="1" si="22"/>
        <v>预装式变电站</v>
      </c>
      <c r="K124" s="316"/>
    </row>
    <row r="125" spans="1:11" s="317" customFormat="1" ht="18.95" customHeight="1" x14ac:dyDescent="0.15">
      <c r="A125" s="322">
        <f ca="1">COUNTIF(J$65:J125,J125)-1</f>
        <v>59</v>
      </c>
      <c r="B125" s="323" t="str">
        <f t="shared" ca="1" si="14"/>
        <v/>
      </c>
      <c r="C125" s="323" t="str">
        <f t="shared" ca="1" si="15"/>
        <v/>
      </c>
      <c r="D125" s="323" t="str">
        <f t="shared" ca="1" si="16"/>
        <v/>
      </c>
      <c r="E125" s="324" t="str">
        <f t="shared" ca="1" si="17"/>
        <v/>
      </c>
      <c r="F125" s="325" t="str">
        <f t="shared" ca="1" si="18"/>
        <v/>
      </c>
      <c r="G125" s="326" t="str">
        <f t="shared" ca="1" si="19"/>
        <v/>
      </c>
      <c r="H125" s="327" t="str">
        <f t="shared" ca="1" si="20"/>
        <v/>
      </c>
      <c r="I125" s="326" t="str">
        <f t="shared" ca="1" si="21"/>
        <v/>
      </c>
      <c r="J125" s="308" t="str">
        <f t="shared" ca="1" si="22"/>
        <v>预装式变电站</v>
      </c>
      <c r="K125" s="334"/>
    </row>
    <row r="126" spans="1:11" s="317" customFormat="1" ht="18.95" customHeight="1" x14ac:dyDescent="0.15">
      <c r="A126" s="322">
        <f ca="1">COUNTIF(J$65:J126,J126)-1</f>
        <v>60</v>
      </c>
      <c r="B126" s="323" t="str">
        <f t="shared" ca="1" si="14"/>
        <v/>
      </c>
      <c r="C126" s="323" t="str">
        <f t="shared" ca="1" si="15"/>
        <v/>
      </c>
      <c r="D126" s="323" t="str">
        <f t="shared" ca="1" si="16"/>
        <v/>
      </c>
      <c r="E126" s="324" t="str">
        <f t="shared" ca="1" si="17"/>
        <v/>
      </c>
      <c r="F126" s="325" t="str">
        <f t="shared" ca="1" si="18"/>
        <v/>
      </c>
      <c r="G126" s="326" t="str">
        <f t="shared" ca="1" si="19"/>
        <v/>
      </c>
      <c r="H126" s="327" t="str">
        <f t="shared" ca="1" si="20"/>
        <v/>
      </c>
      <c r="I126" s="326" t="str">
        <f t="shared" ca="1" si="21"/>
        <v/>
      </c>
      <c r="J126" s="308" t="str">
        <f t="shared" ca="1" si="22"/>
        <v>预装式变电站</v>
      </c>
      <c r="K126" s="334"/>
    </row>
    <row r="127" spans="1:11" s="317" customFormat="1" ht="18.95" customHeight="1" x14ac:dyDescent="0.15">
      <c r="A127" s="322">
        <f ca="1">COUNTIF(J$65:J127,J127)-1</f>
        <v>61</v>
      </c>
      <c r="B127" s="323" t="str">
        <f t="shared" ca="1" si="14"/>
        <v/>
      </c>
      <c r="C127" s="323" t="str">
        <f t="shared" ca="1" si="15"/>
        <v/>
      </c>
      <c r="D127" s="323" t="str">
        <f t="shared" ca="1" si="16"/>
        <v/>
      </c>
      <c r="E127" s="324" t="str">
        <f t="shared" ca="1" si="17"/>
        <v/>
      </c>
      <c r="F127" s="325" t="str">
        <f t="shared" ca="1" si="18"/>
        <v/>
      </c>
      <c r="G127" s="326" t="str">
        <f t="shared" ca="1" si="19"/>
        <v/>
      </c>
      <c r="H127" s="327" t="str">
        <f t="shared" ca="1" si="20"/>
        <v/>
      </c>
      <c r="I127" s="326" t="str">
        <f t="shared" ca="1" si="21"/>
        <v/>
      </c>
      <c r="J127" s="314" t="str">
        <f ca="1">INDIRECT("J"&amp;ROW()-1)</f>
        <v>预装式变电站</v>
      </c>
      <c r="K127" s="316"/>
    </row>
    <row r="128" spans="1:11" s="317" customFormat="1" ht="18.95" customHeight="1" x14ac:dyDescent="0.15">
      <c r="A128" s="322">
        <f ca="1">COUNTIF(J$65:J128,J128)-1</f>
        <v>62</v>
      </c>
      <c r="B128" s="323" t="str">
        <f t="shared" ca="1" si="14"/>
        <v/>
      </c>
      <c r="C128" s="323" t="str">
        <f t="shared" ca="1" si="15"/>
        <v/>
      </c>
      <c r="D128" s="323" t="str">
        <f t="shared" ca="1" si="16"/>
        <v/>
      </c>
      <c r="E128" s="324" t="str">
        <f t="shared" ca="1" si="17"/>
        <v/>
      </c>
      <c r="F128" s="325" t="str">
        <f t="shared" ca="1" si="18"/>
        <v/>
      </c>
      <c r="G128" s="326" t="str">
        <f t="shared" ca="1" si="19"/>
        <v/>
      </c>
      <c r="H128" s="327" t="str">
        <f t="shared" ca="1" si="20"/>
        <v/>
      </c>
      <c r="I128" s="326" t="str">
        <f t="shared" ca="1" si="21"/>
        <v/>
      </c>
      <c r="J128" s="314" t="str">
        <f t="shared" ca="1" si="22"/>
        <v>预装式变电站</v>
      </c>
      <c r="K128" s="316"/>
    </row>
    <row r="129" spans="1:11" s="317" customFormat="1" ht="18.95" customHeight="1" x14ac:dyDescent="0.15">
      <c r="A129" s="322">
        <f ca="1">COUNTIF(J$65:J129,J129)-1</f>
        <v>63</v>
      </c>
      <c r="B129" s="323" t="str">
        <f t="shared" ca="1" si="14"/>
        <v/>
      </c>
      <c r="C129" s="323" t="str">
        <f t="shared" ca="1" si="15"/>
        <v/>
      </c>
      <c r="D129" s="323" t="str">
        <f t="shared" ca="1" si="16"/>
        <v/>
      </c>
      <c r="E129" s="324" t="str">
        <f t="shared" ca="1" si="17"/>
        <v/>
      </c>
      <c r="F129" s="325" t="str">
        <f t="shared" ca="1" si="18"/>
        <v/>
      </c>
      <c r="G129" s="326" t="str">
        <f t="shared" ca="1" si="19"/>
        <v/>
      </c>
      <c r="H129" s="327" t="str">
        <f t="shared" ca="1" si="20"/>
        <v/>
      </c>
      <c r="I129" s="326" t="str">
        <f t="shared" ca="1" si="21"/>
        <v/>
      </c>
      <c r="J129" s="314" t="str">
        <f t="shared" ca="1" si="22"/>
        <v>预装式变电站</v>
      </c>
      <c r="K129" s="316"/>
    </row>
    <row r="130" spans="1:11" s="317" customFormat="1" ht="18.95" customHeight="1" x14ac:dyDescent="0.15">
      <c r="A130" s="322">
        <f ca="1">COUNTIF(J$65:J130,J130)-1</f>
        <v>64</v>
      </c>
      <c r="B130" s="323" t="str">
        <f t="shared" ca="1" si="14"/>
        <v/>
      </c>
      <c r="C130" s="323" t="str">
        <f t="shared" ca="1" si="15"/>
        <v/>
      </c>
      <c r="D130" s="323" t="str">
        <f t="shared" ca="1" si="16"/>
        <v/>
      </c>
      <c r="E130" s="324" t="str">
        <f t="shared" ca="1" si="17"/>
        <v/>
      </c>
      <c r="F130" s="325" t="str">
        <f t="shared" ca="1" si="18"/>
        <v/>
      </c>
      <c r="G130" s="326" t="str">
        <f t="shared" ca="1" si="19"/>
        <v/>
      </c>
      <c r="H130" s="327" t="str">
        <f t="shared" ca="1" si="20"/>
        <v/>
      </c>
      <c r="I130" s="326" t="str">
        <f t="shared" ca="1" si="21"/>
        <v/>
      </c>
      <c r="J130" s="308" t="str">
        <f t="shared" ca="1" si="22"/>
        <v>预装式变电站</v>
      </c>
      <c r="K130" s="334"/>
    </row>
    <row r="131" spans="1:11" s="317" customFormat="1" ht="18.95" customHeight="1" x14ac:dyDescent="0.15">
      <c r="A131" s="322">
        <f ca="1">COUNTIF(J$65:J131,J131)-1</f>
        <v>65</v>
      </c>
      <c r="B131" s="323" t="str">
        <f t="shared" ref="B131:B166" ca="1" si="23">IFERROR(VLOOKUP(A131,INDIRECT("'"&amp;J131&amp;"'!A:I"),2,FALSE),"")</f>
        <v/>
      </c>
      <c r="C131" s="323" t="str">
        <f t="shared" ref="C131:C166" ca="1" si="24">IFERROR(VLOOKUP(A131,INDIRECT("'"&amp;J131&amp;"'!A:I"),8,FALSE)&amp;":"&amp;VLOOKUP(A131,INDIRECT("'"&amp;J131&amp;"'!A:I"),3,FALSE),"")</f>
        <v/>
      </c>
      <c r="D131" s="323" t="str">
        <f t="shared" ref="D131:D166" ca="1" si="25">IF(B131="","",IF(VLOOKUP(A131,INDIRECT("'"&amp;J131&amp;"'!A:I"),4,FALSE)="","",IFERROR(VLOOKUP(A131,INDIRECT("'"&amp;J131&amp;"'!A:I"),4,FALSE),"")))</f>
        <v/>
      </c>
      <c r="E131" s="324" t="str">
        <f t="shared" ref="E131:E166" ca="1" si="26">IFERROR(VLOOKUP(A131,INDIRECT("'"&amp;J131&amp;"'!A:I"),5,FALSE),"")</f>
        <v/>
      </c>
      <c r="F131" s="325" t="str">
        <f t="shared" ref="F131:F166" ca="1" si="27">IFERROR(VLOOKUP(A131,INDIRECT("'"&amp;J131&amp;"'!A:I"),6,FALSE),"")</f>
        <v/>
      </c>
      <c r="G131" s="326" t="str">
        <f t="shared" ref="G131:G166" ca="1" si="28">IFERROR(VLOOKUP(A131,INDIRECT("'"&amp;J131&amp;"'!A:I"),7,FALSE),"")</f>
        <v/>
      </c>
      <c r="H131" s="327" t="str">
        <f t="shared" ref="H131:H166" ca="1" si="29">IFERROR(F131*G131,"")</f>
        <v/>
      </c>
      <c r="I131" s="326" t="str">
        <f t="shared" ref="I131:I166" ca="1" si="30">IF(B131="","",IF(VLOOKUP(A131,INDIRECT("'"&amp;J131&amp;"'!A:J"),9,FALSE)="","",IFERROR(VLOOKUP(A131,INDIRECT("'"&amp;J131&amp;"'!A:J"),9,FALSE),"")))</f>
        <v/>
      </c>
      <c r="J131" s="308" t="str">
        <f t="shared" ca="1" si="22"/>
        <v>预装式变电站</v>
      </c>
      <c r="K131" s="334"/>
    </row>
    <row r="132" spans="1:11" s="317" customFormat="1" ht="18.95" customHeight="1" x14ac:dyDescent="0.15">
      <c r="A132" s="322">
        <f ca="1">COUNTIF(J$65:J132,J132)-1</f>
        <v>66</v>
      </c>
      <c r="B132" s="323" t="str">
        <f t="shared" ca="1" si="23"/>
        <v/>
      </c>
      <c r="C132" s="323" t="str">
        <f t="shared" ca="1" si="24"/>
        <v/>
      </c>
      <c r="D132" s="323" t="str">
        <f t="shared" ca="1" si="25"/>
        <v/>
      </c>
      <c r="E132" s="324" t="str">
        <f t="shared" ca="1" si="26"/>
        <v/>
      </c>
      <c r="F132" s="325" t="str">
        <f t="shared" ca="1" si="27"/>
        <v/>
      </c>
      <c r="G132" s="326" t="str">
        <f t="shared" ca="1" si="28"/>
        <v/>
      </c>
      <c r="H132" s="327" t="str">
        <f t="shared" ca="1" si="29"/>
        <v/>
      </c>
      <c r="I132" s="326" t="str">
        <f t="shared" ca="1" si="30"/>
        <v/>
      </c>
      <c r="J132" s="314" t="str">
        <f t="shared" ca="1" si="22"/>
        <v>预装式变电站</v>
      </c>
      <c r="K132" s="316"/>
    </row>
    <row r="133" spans="1:11" s="317" customFormat="1" ht="18.95" customHeight="1" x14ac:dyDescent="0.15">
      <c r="A133" s="322">
        <f ca="1">COUNTIF(J$65:J133,J133)-1</f>
        <v>67</v>
      </c>
      <c r="B133" s="323" t="str">
        <f t="shared" ca="1" si="23"/>
        <v/>
      </c>
      <c r="C133" s="323" t="str">
        <f t="shared" ca="1" si="24"/>
        <v/>
      </c>
      <c r="D133" s="323" t="str">
        <f t="shared" ca="1" si="25"/>
        <v/>
      </c>
      <c r="E133" s="324" t="str">
        <f t="shared" ca="1" si="26"/>
        <v/>
      </c>
      <c r="F133" s="325" t="str">
        <f t="shared" ca="1" si="27"/>
        <v/>
      </c>
      <c r="G133" s="326" t="str">
        <f t="shared" ca="1" si="28"/>
        <v/>
      </c>
      <c r="H133" s="327" t="str">
        <f t="shared" ca="1" si="29"/>
        <v/>
      </c>
      <c r="I133" s="326" t="str">
        <f t="shared" ca="1" si="30"/>
        <v/>
      </c>
      <c r="J133" s="314" t="str">
        <f t="shared" ca="1" si="22"/>
        <v>预装式变电站</v>
      </c>
      <c r="K133" s="316"/>
    </row>
    <row r="134" spans="1:11" s="317" customFormat="1" ht="18.95" customHeight="1" x14ac:dyDescent="0.15">
      <c r="A134" s="322">
        <f ca="1">COUNTIF(J$65:J134,J134)-1</f>
        <v>68</v>
      </c>
      <c r="B134" s="323" t="str">
        <f t="shared" ca="1" si="23"/>
        <v/>
      </c>
      <c r="C134" s="323" t="str">
        <f t="shared" ca="1" si="24"/>
        <v/>
      </c>
      <c r="D134" s="323" t="str">
        <f t="shared" ca="1" si="25"/>
        <v/>
      </c>
      <c r="E134" s="324" t="str">
        <f t="shared" ca="1" si="26"/>
        <v/>
      </c>
      <c r="F134" s="325" t="str">
        <f t="shared" ca="1" si="27"/>
        <v/>
      </c>
      <c r="G134" s="326" t="str">
        <f t="shared" ca="1" si="28"/>
        <v/>
      </c>
      <c r="H134" s="327" t="str">
        <f t="shared" ca="1" si="29"/>
        <v/>
      </c>
      <c r="I134" s="326" t="str">
        <f t="shared" ca="1" si="30"/>
        <v/>
      </c>
      <c r="J134" s="308" t="str">
        <f t="shared" ca="1" si="22"/>
        <v>预装式变电站</v>
      </c>
      <c r="K134" s="334"/>
    </row>
    <row r="135" spans="1:11" s="317" customFormat="1" ht="18.95" customHeight="1" x14ac:dyDescent="0.15">
      <c r="A135" s="322">
        <f ca="1">COUNTIF(J$65:J135,J135)-1</f>
        <v>69</v>
      </c>
      <c r="B135" s="323" t="str">
        <f t="shared" ca="1" si="23"/>
        <v/>
      </c>
      <c r="C135" s="323" t="str">
        <f t="shared" ca="1" si="24"/>
        <v/>
      </c>
      <c r="D135" s="323" t="str">
        <f t="shared" ca="1" si="25"/>
        <v/>
      </c>
      <c r="E135" s="324" t="str">
        <f t="shared" ca="1" si="26"/>
        <v/>
      </c>
      <c r="F135" s="325" t="str">
        <f t="shared" ca="1" si="27"/>
        <v/>
      </c>
      <c r="G135" s="326" t="str">
        <f t="shared" ca="1" si="28"/>
        <v/>
      </c>
      <c r="H135" s="327" t="str">
        <f t="shared" ca="1" si="29"/>
        <v/>
      </c>
      <c r="I135" s="326" t="str">
        <f t="shared" ca="1" si="30"/>
        <v/>
      </c>
      <c r="J135" s="314" t="str">
        <f t="shared" ca="1" si="22"/>
        <v>预装式变电站</v>
      </c>
      <c r="K135" s="316"/>
    </row>
    <row r="136" spans="1:11" s="317" customFormat="1" ht="18.95" customHeight="1" x14ac:dyDescent="0.15">
      <c r="A136" s="322">
        <f ca="1">COUNTIF(J$65:J136,J136)-1</f>
        <v>70</v>
      </c>
      <c r="B136" s="323" t="str">
        <f t="shared" ca="1" si="23"/>
        <v/>
      </c>
      <c r="C136" s="323" t="str">
        <f t="shared" ca="1" si="24"/>
        <v/>
      </c>
      <c r="D136" s="323" t="str">
        <f t="shared" ca="1" si="25"/>
        <v/>
      </c>
      <c r="E136" s="324" t="str">
        <f t="shared" ca="1" si="26"/>
        <v/>
      </c>
      <c r="F136" s="325" t="str">
        <f t="shared" ca="1" si="27"/>
        <v/>
      </c>
      <c r="G136" s="326" t="str">
        <f t="shared" ca="1" si="28"/>
        <v/>
      </c>
      <c r="H136" s="327" t="str">
        <f t="shared" ca="1" si="29"/>
        <v/>
      </c>
      <c r="I136" s="326" t="str">
        <f t="shared" ca="1" si="30"/>
        <v/>
      </c>
      <c r="J136" s="308" t="str">
        <f t="shared" ca="1" si="22"/>
        <v>预装式变电站</v>
      </c>
      <c r="K136" s="334"/>
    </row>
    <row r="137" spans="1:11" s="317" customFormat="1" ht="18.95" customHeight="1" x14ac:dyDescent="0.15">
      <c r="A137" s="322">
        <f ca="1">COUNTIF(J$65:J137,J137)-1</f>
        <v>71</v>
      </c>
      <c r="B137" s="323" t="str">
        <f t="shared" ca="1" si="23"/>
        <v/>
      </c>
      <c r="C137" s="323" t="str">
        <f t="shared" ca="1" si="24"/>
        <v/>
      </c>
      <c r="D137" s="323" t="str">
        <f t="shared" ca="1" si="25"/>
        <v/>
      </c>
      <c r="E137" s="324" t="str">
        <f t="shared" ca="1" si="26"/>
        <v/>
      </c>
      <c r="F137" s="325" t="str">
        <f t="shared" ca="1" si="27"/>
        <v/>
      </c>
      <c r="G137" s="326" t="str">
        <f t="shared" ca="1" si="28"/>
        <v/>
      </c>
      <c r="H137" s="327" t="str">
        <f t="shared" ca="1" si="29"/>
        <v/>
      </c>
      <c r="I137" s="326" t="str">
        <f t="shared" ca="1" si="30"/>
        <v/>
      </c>
      <c r="J137" s="308" t="str">
        <f t="shared" ca="1" si="22"/>
        <v>预装式变电站</v>
      </c>
      <c r="K137" s="334"/>
    </row>
    <row r="138" spans="1:11" s="317" customFormat="1" ht="18.95" customHeight="1" x14ac:dyDescent="0.15">
      <c r="A138" s="322">
        <f ca="1">COUNTIF(J$65:J138,J138)-1</f>
        <v>72</v>
      </c>
      <c r="B138" s="323" t="str">
        <f t="shared" ca="1" si="23"/>
        <v/>
      </c>
      <c r="C138" s="323" t="str">
        <f t="shared" ca="1" si="24"/>
        <v/>
      </c>
      <c r="D138" s="323" t="str">
        <f t="shared" ca="1" si="25"/>
        <v/>
      </c>
      <c r="E138" s="324" t="str">
        <f t="shared" ca="1" si="26"/>
        <v/>
      </c>
      <c r="F138" s="325" t="str">
        <f t="shared" ca="1" si="27"/>
        <v/>
      </c>
      <c r="G138" s="326" t="str">
        <f t="shared" ca="1" si="28"/>
        <v/>
      </c>
      <c r="H138" s="327" t="str">
        <f t="shared" ca="1" si="29"/>
        <v/>
      </c>
      <c r="I138" s="326" t="str">
        <f t="shared" ca="1" si="30"/>
        <v/>
      </c>
      <c r="J138" s="314" t="str">
        <f t="shared" ca="1" si="22"/>
        <v>预装式变电站</v>
      </c>
      <c r="K138" s="316"/>
    </row>
    <row r="139" spans="1:11" s="317" customFormat="1" ht="18.95" customHeight="1" x14ac:dyDescent="0.15">
      <c r="A139" s="322">
        <f ca="1">COUNTIF(J$65:J139,J139)-1</f>
        <v>73</v>
      </c>
      <c r="B139" s="323" t="str">
        <f t="shared" ca="1" si="23"/>
        <v/>
      </c>
      <c r="C139" s="323" t="str">
        <f t="shared" ca="1" si="24"/>
        <v/>
      </c>
      <c r="D139" s="323" t="str">
        <f t="shared" ca="1" si="25"/>
        <v/>
      </c>
      <c r="E139" s="324" t="str">
        <f t="shared" ca="1" si="26"/>
        <v/>
      </c>
      <c r="F139" s="325" t="str">
        <f t="shared" ca="1" si="27"/>
        <v/>
      </c>
      <c r="G139" s="326" t="str">
        <f t="shared" ca="1" si="28"/>
        <v/>
      </c>
      <c r="H139" s="327" t="str">
        <f t="shared" ca="1" si="29"/>
        <v/>
      </c>
      <c r="I139" s="326" t="str">
        <f t="shared" ca="1" si="30"/>
        <v/>
      </c>
      <c r="J139" s="314" t="str">
        <f t="shared" ca="1" si="22"/>
        <v>预装式变电站</v>
      </c>
      <c r="K139" s="316"/>
    </row>
    <row r="140" spans="1:11" s="317" customFormat="1" ht="18.95" customHeight="1" x14ac:dyDescent="0.15">
      <c r="A140" s="322">
        <f ca="1">COUNTIF(J$65:J140,J140)-1</f>
        <v>74</v>
      </c>
      <c r="B140" s="323" t="str">
        <f t="shared" ca="1" si="23"/>
        <v/>
      </c>
      <c r="C140" s="323" t="str">
        <f t="shared" ca="1" si="24"/>
        <v/>
      </c>
      <c r="D140" s="323" t="str">
        <f t="shared" ca="1" si="25"/>
        <v/>
      </c>
      <c r="E140" s="324" t="str">
        <f t="shared" ca="1" si="26"/>
        <v/>
      </c>
      <c r="F140" s="325" t="str">
        <f t="shared" ca="1" si="27"/>
        <v/>
      </c>
      <c r="G140" s="326" t="str">
        <f t="shared" ca="1" si="28"/>
        <v/>
      </c>
      <c r="H140" s="327" t="str">
        <f t="shared" ca="1" si="29"/>
        <v/>
      </c>
      <c r="I140" s="326" t="str">
        <f t="shared" ca="1" si="30"/>
        <v/>
      </c>
      <c r="J140" s="308" t="str">
        <f t="shared" ca="1" si="22"/>
        <v>预装式变电站</v>
      </c>
      <c r="K140" s="334"/>
    </row>
    <row r="141" spans="1:11" s="317" customFormat="1" ht="18.95" customHeight="1" x14ac:dyDescent="0.15">
      <c r="A141" s="322">
        <f ca="1">COUNTIF(J$65:J141,J141)-1</f>
        <v>75</v>
      </c>
      <c r="B141" s="323" t="str">
        <f t="shared" ca="1" si="23"/>
        <v/>
      </c>
      <c r="C141" s="323" t="str">
        <f t="shared" ca="1" si="24"/>
        <v/>
      </c>
      <c r="D141" s="323" t="str">
        <f t="shared" ca="1" si="25"/>
        <v/>
      </c>
      <c r="E141" s="324" t="str">
        <f t="shared" ca="1" si="26"/>
        <v/>
      </c>
      <c r="F141" s="325" t="str">
        <f t="shared" ca="1" si="27"/>
        <v/>
      </c>
      <c r="G141" s="326" t="str">
        <f t="shared" ca="1" si="28"/>
        <v/>
      </c>
      <c r="H141" s="327" t="str">
        <f t="shared" ca="1" si="29"/>
        <v/>
      </c>
      <c r="I141" s="326" t="str">
        <f t="shared" ca="1" si="30"/>
        <v/>
      </c>
      <c r="J141" s="308" t="str">
        <f t="shared" ca="1" si="22"/>
        <v>预装式变电站</v>
      </c>
      <c r="K141" s="334"/>
    </row>
    <row r="142" spans="1:11" s="317" customFormat="1" ht="18.95" customHeight="1" x14ac:dyDescent="0.15">
      <c r="A142" s="322">
        <f ca="1">COUNTIF(J$65:J142,J142)-1</f>
        <v>76</v>
      </c>
      <c r="B142" s="323" t="str">
        <f t="shared" ca="1" si="23"/>
        <v/>
      </c>
      <c r="C142" s="323" t="str">
        <f t="shared" ca="1" si="24"/>
        <v/>
      </c>
      <c r="D142" s="323" t="str">
        <f t="shared" ca="1" si="25"/>
        <v/>
      </c>
      <c r="E142" s="324" t="str">
        <f t="shared" ca="1" si="26"/>
        <v/>
      </c>
      <c r="F142" s="325" t="str">
        <f t="shared" ca="1" si="27"/>
        <v/>
      </c>
      <c r="G142" s="326" t="str">
        <f t="shared" ca="1" si="28"/>
        <v/>
      </c>
      <c r="H142" s="327" t="str">
        <f t="shared" ca="1" si="29"/>
        <v/>
      </c>
      <c r="I142" s="326" t="str">
        <f t="shared" ca="1" si="30"/>
        <v/>
      </c>
      <c r="J142" s="314" t="str">
        <f ca="1">INDIRECT("J"&amp;ROW()-1)</f>
        <v>预装式变电站</v>
      </c>
      <c r="K142" s="316"/>
    </row>
    <row r="143" spans="1:11" s="317" customFormat="1" ht="18.95" customHeight="1" x14ac:dyDescent="0.15">
      <c r="A143" s="322">
        <f ca="1">COUNTIF(J$65:J143,J143)-1</f>
        <v>77</v>
      </c>
      <c r="B143" s="323" t="str">
        <f t="shared" ca="1" si="23"/>
        <v/>
      </c>
      <c r="C143" s="323" t="str">
        <f t="shared" ca="1" si="24"/>
        <v/>
      </c>
      <c r="D143" s="323" t="str">
        <f t="shared" ca="1" si="25"/>
        <v/>
      </c>
      <c r="E143" s="324" t="str">
        <f t="shared" ca="1" si="26"/>
        <v/>
      </c>
      <c r="F143" s="325" t="str">
        <f t="shared" ca="1" si="27"/>
        <v/>
      </c>
      <c r="G143" s="326" t="str">
        <f t="shared" ca="1" si="28"/>
        <v/>
      </c>
      <c r="H143" s="327" t="str">
        <f t="shared" ca="1" si="29"/>
        <v/>
      </c>
      <c r="I143" s="326" t="str">
        <f t="shared" ca="1" si="30"/>
        <v/>
      </c>
      <c r="J143" s="314" t="str">
        <f t="shared" ca="1" si="22"/>
        <v>预装式变电站</v>
      </c>
      <c r="K143" s="316"/>
    </row>
    <row r="144" spans="1:11" s="317" customFormat="1" ht="18.95" customHeight="1" x14ac:dyDescent="0.15">
      <c r="A144" s="322">
        <f ca="1">COUNTIF(J$65:J144,J144)-1</f>
        <v>78</v>
      </c>
      <c r="B144" s="323" t="str">
        <f t="shared" ca="1" si="23"/>
        <v/>
      </c>
      <c r="C144" s="323" t="str">
        <f t="shared" ca="1" si="24"/>
        <v/>
      </c>
      <c r="D144" s="323" t="str">
        <f t="shared" ca="1" si="25"/>
        <v/>
      </c>
      <c r="E144" s="324" t="str">
        <f t="shared" ca="1" si="26"/>
        <v/>
      </c>
      <c r="F144" s="325" t="str">
        <f t="shared" ca="1" si="27"/>
        <v/>
      </c>
      <c r="G144" s="326" t="str">
        <f t="shared" ca="1" si="28"/>
        <v/>
      </c>
      <c r="H144" s="327" t="str">
        <f t="shared" ca="1" si="29"/>
        <v/>
      </c>
      <c r="I144" s="326" t="str">
        <f t="shared" ca="1" si="30"/>
        <v/>
      </c>
      <c r="J144" s="314" t="str">
        <f t="shared" ca="1" si="22"/>
        <v>预装式变电站</v>
      </c>
      <c r="K144" s="316"/>
    </row>
    <row r="145" spans="1:11" s="317" customFormat="1" ht="18.95" customHeight="1" x14ac:dyDescent="0.15">
      <c r="A145" s="322">
        <f ca="1">COUNTIF(J$65:J145,J145)-1</f>
        <v>79</v>
      </c>
      <c r="B145" s="323" t="str">
        <f t="shared" ca="1" si="23"/>
        <v/>
      </c>
      <c r="C145" s="323" t="str">
        <f t="shared" ca="1" si="24"/>
        <v/>
      </c>
      <c r="D145" s="323" t="str">
        <f t="shared" ca="1" si="25"/>
        <v/>
      </c>
      <c r="E145" s="324" t="str">
        <f t="shared" ca="1" si="26"/>
        <v/>
      </c>
      <c r="F145" s="325" t="str">
        <f t="shared" ca="1" si="27"/>
        <v/>
      </c>
      <c r="G145" s="326" t="str">
        <f t="shared" ca="1" si="28"/>
        <v/>
      </c>
      <c r="H145" s="327" t="str">
        <f t="shared" ca="1" si="29"/>
        <v/>
      </c>
      <c r="I145" s="326" t="str">
        <f t="shared" ca="1" si="30"/>
        <v/>
      </c>
      <c r="J145" s="308" t="str">
        <f t="shared" ca="1" si="22"/>
        <v>预装式变电站</v>
      </c>
      <c r="K145" s="334"/>
    </row>
    <row r="146" spans="1:11" s="317" customFormat="1" ht="18.95" customHeight="1" x14ac:dyDescent="0.15">
      <c r="A146" s="322">
        <f ca="1">COUNTIF(J$65:J146,J146)-1</f>
        <v>80</v>
      </c>
      <c r="B146" s="323" t="str">
        <f t="shared" ca="1" si="23"/>
        <v/>
      </c>
      <c r="C146" s="323" t="str">
        <f t="shared" ca="1" si="24"/>
        <v/>
      </c>
      <c r="D146" s="323" t="str">
        <f t="shared" ca="1" si="25"/>
        <v/>
      </c>
      <c r="E146" s="324" t="str">
        <f t="shared" ca="1" si="26"/>
        <v/>
      </c>
      <c r="F146" s="325" t="str">
        <f t="shared" ca="1" si="27"/>
        <v/>
      </c>
      <c r="G146" s="326" t="str">
        <f t="shared" ca="1" si="28"/>
        <v/>
      </c>
      <c r="H146" s="327" t="str">
        <f t="shared" ca="1" si="29"/>
        <v/>
      </c>
      <c r="I146" s="326" t="str">
        <f t="shared" ca="1" si="30"/>
        <v/>
      </c>
      <c r="J146" s="308" t="str">
        <f t="shared" ca="1" si="22"/>
        <v>预装式变电站</v>
      </c>
      <c r="K146" s="334"/>
    </row>
    <row r="147" spans="1:11" s="317" customFormat="1" ht="18.95" customHeight="1" x14ac:dyDescent="0.15">
      <c r="A147" s="322">
        <f ca="1">COUNTIF(J$65:J147,J147)-1</f>
        <v>81</v>
      </c>
      <c r="B147" s="323" t="str">
        <f t="shared" ca="1" si="23"/>
        <v/>
      </c>
      <c r="C147" s="323" t="str">
        <f t="shared" ca="1" si="24"/>
        <v/>
      </c>
      <c r="D147" s="323" t="str">
        <f t="shared" ca="1" si="25"/>
        <v/>
      </c>
      <c r="E147" s="324" t="str">
        <f t="shared" ca="1" si="26"/>
        <v/>
      </c>
      <c r="F147" s="325" t="str">
        <f t="shared" ca="1" si="27"/>
        <v/>
      </c>
      <c r="G147" s="326" t="str">
        <f t="shared" ca="1" si="28"/>
        <v/>
      </c>
      <c r="H147" s="327" t="str">
        <f t="shared" ca="1" si="29"/>
        <v/>
      </c>
      <c r="I147" s="326" t="str">
        <f t="shared" ca="1" si="30"/>
        <v/>
      </c>
      <c r="J147" s="314" t="str">
        <f t="shared" ca="1" si="22"/>
        <v>预装式变电站</v>
      </c>
      <c r="K147" s="316"/>
    </row>
    <row r="148" spans="1:11" s="317" customFormat="1" ht="18.95" customHeight="1" x14ac:dyDescent="0.15">
      <c r="A148" s="322">
        <f ca="1">COUNTIF(J$65:J148,J148)-1</f>
        <v>82</v>
      </c>
      <c r="B148" s="323" t="str">
        <f t="shared" ca="1" si="23"/>
        <v/>
      </c>
      <c r="C148" s="323" t="str">
        <f t="shared" ca="1" si="24"/>
        <v/>
      </c>
      <c r="D148" s="323" t="str">
        <f t="shared" ca="1" si="25"/>
        <v/>
      </c>
      <c r="E148" s="324" t="str">
        <f t="shared" ca="1" si="26"/>
        <v/>
      </c>
      <c r="F148" s="325" t="str">
        <f t="shared" ca="1" si="27"/>
        <v/>
      </c>
      <c r="G148" s="326" t="str">
        <f t="shared" ca="1" si="28"/>
        <v/>
      </c>
      <c r="H148" s="327" t="str">
        <f t="shared" ca="1" si="29"/>
        <v/>
      </c>
      <c r="I148" s="326" t="str">
        <f t="shared" ca="1" si="30"/>
        <v/>
      </c>
      <c r="J148" s="314" t="str">
        <f t="shared" ca="1" si="22"/>
        <v>预装式变电站</v>
      </c>
      <c r="K148" s="316"/>
    </row>
    <row r="149" spans="1:11" s="317" customFormat="1" ht="18.95" customHeight="1" x14ac:dyDescent="0.15">
      <c r="A149" s="322">
        <f ca="1">COUNTIF(J$65:J149,J149)-1</f>
        <v>83</v>
      </c>
      <c r="B149" s="323" t="str">
        <f t="shared" ca="1" si="23"/>
        <v/>
      </c>
      <c r="C149" s="323" t="str">
        <f t="shared" ca="1" si="24"/>
        <v/>
      </c>
      <c r="D149" s="323" t="str">
        <f t="shared" ca="1" si="25"/>
        <v/>
      </c>
      <c r="E149" s="324" t="str">
        <f t="shared" ca="1" si="26"/>
        <v/>
      </c>
      <c r="F149" s="325" t="str">
        <f t="shared" ca="1" si="27"/>
        <v/>
      </c>
      <c r="G149" s="326" t="str">
        <f t="shared" ca="1" si="28"/>
        <v/>
      </c>
      <c r="H149" s="327" t="str">
        <f t="shared" ca="1" si="29"/>
        <v/>
      </c>
      <c r="I149" s="326" t="str">
        <f t="shared" ca="1" si="30"/>
        <v/>
      </c>
      <c r="J149" s="308" t="str">
        <f t="shared" ca="1" si="22"/>
        <v>预装式变电站</v>
      </c>
      <c r="K149" s="334"/>
    </row>
    <row r="150" spans="1:11" s="317" customFormat="1" ht="18.95" customHeight="1" x14ac:dyDescent="0.15">
      <c r="A150" s="322">
        <f ca="1">COUNTIF(J$65:J150,J150)-1</f>
        <v>84</v>
      </c>
      <c r="B150" s="323" t="str">
        <f t="shared" ca="1" si="23"/>
        <v/>
      </c>
      <c r="C150" s="323" t="str">
        <f t="shared" ca="1" si="24"/>
        <v/>
      </c>
      <c r="D150" s="323" t="str">
        <f t="shared" ca="1" si="25"/>
        <v/>
      </c>
      <c r="E150" s="324" t="str">
        <f t="shared" ca="1" si="26"/>
        <v/>
      </c>
      <c r="F150" s="325" t="str">
        <f t="shared" ca="1" si="27"/>
        <v/>
      </c>
      <c r="G150" s="326" t="str">
        <f t="shared" ca="1" si="28"/>
        <v/>
      </c>
      <c r="H150" s="327" t="str">
        <f t="shared" ca="1" si="29"/>
        <v/>
      </c>
      <c r="I150" s="326" t="str">
        <f t="shared" ca="1" si="30"/>
        <v/>
      </c>
      <c r="J150" s="314" t="str">
        <f t="shared" ca="1" si="22"/>
        <v>预装式变电站</v>
      </c>
      <c r="K150" s="316"/>
    </row>
    <row r="151" spans="1:11" s="317" customFormat="1" ht="18.95" customHeight="1" x14ac:dyDescent="0.15">
      <c r="A151" s="322">
        <f ca="1">COUNTIF(J$65:J151,J151)-1</f>
        <v>85</v>
      </c>
      <c r="B151" s="323" t="str">
        <f t="shared" ca="1" si="23"/>
        <v/>
      </c>
      <c r="C151" s="323" t="str">
        <f t="shared" ca="1" si="24"/>
        <v/>
      </c>
      <c r="D151" s="323" t="str">
        <f t="shared" ca="1" si="25"/>
        <v/>
      </c>
      <c r="E151" s="324" t="str">
        <f t="shared" ca="1" si="26"/>
        <v/>
      </c>
      <c r="F151" s="325" t="str">
        <f t="shared" ca="1" si="27"/>
        <v/>
      </c>
      <c r="G151" s="326" t="str">
        <f t="shared" ca="1" si="28"/>
        <v/>
      </c>
      <c r="H151" s="327" t="str">
        <f t="shared" ca="1" si="29"/>
        <v/>
      </c>
      <c r="I151" s="326" t="str">
        <f t="shared" ca="1" si="30"/>
        <v/>
      </c>
      <c r="J151" s="308" t="str">
        <f t="shared" ca="1" si="22"/>
        <v>预装式变电站</v>
      </c>
      <c r="K151" s="334"/>
    </row>
    <row r="152" spans="1:11" s="317" customFormat="1" ht="18.95" customHeight="1" x14ac:dyDescent="0.15">
      <c r="A152" s="322">
        <f ca="1">COUNTIF(J$65:J152,J152)-1</f>
        <v>86</v>
      </c>
      <c r="B152" s="323" t="str">
        <f t="shared" ca="1" si="23"/>
        <v/>
      </c>
      <c r="C152" s="323" t="str">
        <f t="shared" ca="1" si="24"/>
        <v/>
      </c>
      <c r="D152" s="323" t="str">
        <f t="shared" ca="1" si="25"/>
        <v/>
      </c>
      <c r="E152" s="324" t="str">
        <f t="shared" ca="1" si="26"/>
        <v/>
      </c>
      <c r="F152" s="325" t="str">
        <f t="shared" ca="1" si="27"/>
        <v/>
      </c>
      <c r="G152" s="326" t="str">
        <f t="shared" ca="1" si="28"/>
        <v/>
      </c>
      <c r="H152" s="327" t="str">
        <f t="shared" ca="1" si="29"/>
        <v/>
      </c>
      <c r="I152" s="326" t="str">
        <f t="shared" ca="1" si="30"/>
        <v/>
      </c>
      <c r="J152" s="308" t="str">
        <f t="shared" ca="1" si="22"/>
        <v>预装式变电站</v>
      </c>
      <c r="K152" s="334"/>
    </row>
    <row r="153" spans="1:11" s="317" customFormat="1" ht="18.95" customHeight="1" x14ac:dyDescent="0.15">
      <c r="A153" s="322">
        <f ca="1">COUNTIF(J$65:J153,J153)-1</f>
        <v>87</v>
      </c>
      <c r="B153" s="323" t="str">
        <f t="shared" ca="1" si="23"/>
        <v/>
      </c>
      <c r="C153" s="323" t="str">
        <f t="shared" ca="1" si="24"/>
        <v/>
      </c>
      <c r="D153" s="323" t="str">
        <f t="shared" ca="1" si="25"/>
        <v/>
      </c>
      <c r="E153" s="324" t="str">
        <f t="shared" ca="1" si="26"/>
        <v/>
      </c>
      <c r="F153" s="325" t="str">
        <f t="shared" ca="1" si="27"/>
        <v/>
      </c>
      <c r="G153" s="326" t="str">
        <f t="shared" ca="1" si="28"/>
        <v/>
      </c>
      <c r="H153" s="327" t="str">
        <f t="shared" ca="1" si="29"/>
        <v/>
      </c>
      <c r="I153" s="326" t="str">
        <f t="shared" ca="1" si="30"/>
        <v/>
      </c>
      <c r="J153" s="314" t="str">
        <f t="shared" ca="1" si="22"/>
        <v>预装式变电站</v>
      </c>
      <c r="K153" s="316"/>
    </row>
    <row r="154" spans="1:11" s="317" customFormat="1" ht="18.95" customHeight="1" x14ac:dyDescent="0.15">
      <c r="A154" s="322">
        <f ca="1">COUNTIF(J$65:J154,J154)-1</f>
        <v>88</v>
      </c>
      <c r="B154" s="323" t="str">
        <f t="shared" ca="1" si="23"/>
        <v/>
      </c>
      <c r="C154" s="323" t="str">
        <f t="shared" ca="1" si="24"/>
        <v/>
      </c>
      <c r="D154" s="323" t="str">
        <f t="shared" ca="1" si="25"/>
        <v/>
      </c>
      <c r="E154" s="324" t="str">
        <f t="shared" ca="1" si="26"/>
        <v/>
      </c>
      <c r="F154" s="325" t="str">
        <f t="shared" ca="1" si="27"/>
        <v/>
      </c>
      <c r="G154" s="326" t="str">
        <f t="shared" ca="1" si="28"/>
        <v/>
      </c>
      <c r="H154" s="327" t="str">
        <f t="shared" ca="1" si="29"/>
        <v/>
      </c>
      <c r="I154" s="326" t="str">
        <f t="shared" ca="1" si="30"/>
        <v/>
      </c>
      <c r="J154" s="314" t="str">
        <f t="shared" ca="1" si="22"/>
        <v>预装式变电站</v>
      </c>
      <c r="K154" s="316"/>
    </row>
    <row r="155" spans="1:11" s="317" customFormat="1" ht="18.95" customHeight="1" x14ac:dyDescent="0.15">
      <c r="A155" s="322">
        <f ca="1">COUNTIF(J$65:J155,J155)-1</f>
        <v>89</v>
      </c>
      <c r="B155" s="323" t="str">
        <f t="shared" ca="1" si="23"/>
        <v/>
      </c>
      <c r="C155" s="323" t="str">
        <f t="shared" ca="1" si="24"/>
        <v/>
      </c>
      <c r="D155" s="323" t="str">
        <f t="shared" ca="1" si="25"/>
        <v/>
      </c>
      <c r="E155" s="324" t="str">
        <f t="shared" ca="1" si="26"/>
        <v/>
      </c>
      <c r="F155" s="325" t="str">
        <f t="shared" ca="1" si="27"/>
        <v/>
      </c>
      <c r="G155" s="326" t="str">
        <f t="shared" ca="1" si="28"/>
        <v/>
      </c>
      <c r="H155" s="327" t="str">
        <f t="shared" ca="1" si="29"/>
        <v/>
      </c>
      <c r="I155" s="326" t="str">
        <f t="shared" ca="1" si="30"/>
        <v/>
      </c>
      <c r="J155" s="308" t="str">
        <f t="shared" ca="1" si="22"/>
        <v>预装式变电站</v>
      </c>
      <c r="K155" s="334"/>
    </row>
    <row r="156" spans="1:11" s="317" customFormat="1" ht="18.95" customHeight="1" x14ac:dyDescent="0.15">
      <c r="A156" s="322">
        <f ca="1">COUNTIF(J$65:J156,J156)-1</f>
        <v>90</v>
      </c>
      <c r="B156" s="323" t="str">
        <f t="shared" ca="1" si="23"/>
        <v/>
      </c>
      <c r="C156" s="323" t="str">
        <f t="shared" ca="1" si="24"/>
        <v/>
      </c>
      <c r="D156" s="323" t="str">
        <f t="shared" ca="1" si="25"/>
        <v/>
      </c>
      <c r="E156" s="324" t="str">
        <f t="shared" ca="1" si="26"/>
        <v/>
      </c>
      <c r="F156" s="325" t="str">
        <f t="shared" ca="1" si="27"/>
        <v/>
      </c>
      <c r="G156" s="326" t="str">
        <f t="shared" ca="1" si="28"/>
        <v/>
      </c>
      <c r="H156" s="327" t="str">
        <f t="shared" ca="1" si="29"/>
        <v/>
      </c>
      <c r="I156" s="326" t="str">
        <f t="shared" ca="1" si="30"/>
        <v/>
      </c>
      <c r="J156" s="308" t="str">
        <f t="shared" ca="1" si="22"/>
        <v>预装式变电站</v>
      </c>
      <c r="K156" s="334"/>
    </row>
    <row r="157" spans="1:11" s="317" customFormat="1" ht="18.95" customHeight="1" x14ac:dyDescent="0.15">
      <c r="A157" s="322">
        <f ca="1">COUNTIF(J$65:J157,J157)-1</f>
        <v>91</v>
      </c>
      <c r="B157" s="323" t="str">
        <f t="shared" ca="1" si="23"/>
        <v/>
      </c>
      <c r="C157" s="323" t="str">
        <f t="shared" ca="1" si="24"/>
        <v/>
      </c>
      <c r="D157" s="323" t="str">
        <f t="shared" ca="1" si="25"/>
        <v/>
      </c>
      <c r="E157" s="324" t="str">
        <f t="shared" ca="1" si="26"/>
        <v/>
      </c>
      <c r="F157" s="325" t="str">
        <f t="shared" ca="1" si="27"/>
        <v/>
      </c>
      <c r="G157" s="326" t="str">
        <f t="shared" ca="1" si="28"/>
        <v/>
      </c>
      <c r="H157" s="327" t="str">
        <f t="shared" ca="1" si="29"/>
        <v/>
      </c>
      <c r="I157" s="326" t="str">
        <f t="shared" ca="1" si="30"/>
        <v/>
      </c>
      <c r="J157" s="314" t="str">
        <f ca="1">INDIRECT("J"&amp;ROW()-1)</f>
        <v>预装式变电站</v>
      </c>
      <c r="K157" s="316"/>
    </row>
    <row r="158" spans="1:11" s="317" customFormat="1" ht="18.95" customHeight="1" x14ac:dyDescent="0.15">
      <c r="A158" s="322">
        <f ca="1">COUNTIF(J$65:J158,J158)-1</f>
        <v>92</v>
      </c>
      <c r="B158" s="323" t="str">
        <f t="shared" ca="1" si="23"/>
        <v/>
      </c>
      <c r="C158" s="323" t="str">
        <f t="shared" ca="1" si="24"/>
        <v/>
      </c>
      <c r="D158" s="323" t="str">
        <f t="shared" ca="1" si="25"/>
        <v/>
      </c>
      <c r="E158" s="324" t="str">
        <f t="shared" ca="1" si="26"/>
        <v/>
      </c>
      <c r="F158" s="325" t="str">
        <f t="shared" ca="1" si="27"/>
        <v/>
      </c>
      <c r="G158" s="326" t="str">
        <f t="shared" ca="1" si="28"/>
        <v/>
      </c>
      <c r="H158" s="327" t="str">
        <f t="shared" ca="1" si="29"/>
        <v/>
      </c>
      <c r="I158" s="326" t="str">
        <f t="shared" ca="1" si="30"/>
        <v/>
      </c>
      <c r="J158" s="314" t="str">
        <f t="shared" ca="1" si="22"/>
        <v>预装式变电站</v>
      </c>
      <c r="K158" s="316"/>
    </row>
    <row r="159" spans="1:11" s="317" customFormat="1" ht="18.95" customHeight="1" x14ac:dyDescent="0.15">
      <c r="A159" s="322">
        <f ca="1">COUNTIF(J$65:J159,J159)-1</f>
        <v>93</v>
      </c>
      <c r="B159" s="323" t="str">
        <f t="shared" ca="1" si="23"/>
        <v/>
      </c>
      <c r="C159" s="323" t="str">
        <f t="shared" ca="1" si="24"/>
        <v/>
      </c>
      <c r="D159" s="323" t="str">
        <f t="shared" ca="1" si="25"/>
        <v/>
      </c>
      <c r="E159" s="324" t="str">
        <f t="shared" ca="1" si="26"/>
        <v/>
      </c>
      <c r="F159" s="325" t="str">
        <f t="shared" ca="1" si="27"/>
        <v/>
      </c>
      <c r="G159" s="326" t="str">
        <f t="shared" ca="1" si="28"/>
        <v/>
      </c>
      <c r="H159" s="327" t="str">
        <f t="shared" ca="1" si="29"/>
        <v/>
      </c>
      <c r="I159" s="326" t="str">
        <f t="shared" ca="1" si="30"/>
        <v/>
      </c>
      <c r="J159" s="314" t="str">
        <f t="shared" ca="1" si="22"/>
        <v>预装式变电站</v>
      </c>
      <c r="K159" s="316"/>
    </row>
    <row r="160" spans="1:11" s="317" customFormat="1" ht="18.95" customHeight="1" x14ac:dyDescent="0.15">
      <c r="A160" s="322">
        <f ca="1">COUNTIF(J$65:J160,J160)-1</f>
        <v>94</v>
      </c>
      <c r="B160" s="323" t="str">
        <f t="shared" ca="1" si="23"/>
        <v/>
      </c>
      <c r="C160" s="323" t="str">
        <f t="shared" ca="1" si="24"/>
        <v/>
      </c>
      <c r="D160" s="323" t="str">
        <f t="shared" ca="1" si="25"/>
        <v/>
      </c>
      <c r="E160" s="324" t="str">
        <f t="shared" ca="1" si="26"/>
        <v/>
      </c>
      <c r="F160" s="325" t="str">
        <f t="shared" ca="1" si="27"/>
        <v/>
      </c>
      <c r="G160" s="326" t="str">
        <f t="shared" ca="1" si="28"/>
        <v/>
      </c>
      <c r="H160" s="327" t="str">
        <f t="shared" ca="1" si="29"/>
        <v/>
      </c>
      <c r="I160" s="326" t="str">
        <f t="shared" ca="1" si="30"/>
        <v/>
      </c>
      <c r="J160" s="308" t="str">
        <f t="shared" ca="1" si="22"/>
        <v>预装式变电站</v>
      </c>
      <c r="K160" s="334"/>
    </row>
    <row r="161" spans="1:14" s="317" customFormat="1" ht="18.95" customHeight="1" x14ac:dyDescent="0.15">
      <c r="A161" s="322">
        <f ca="1">COUNTIF(J$65:J161,J161)-1</f>
        <v>95</v>
      </c>
      <c r="B161" s="323" t="str">
        <f t="shared" ca="1" si="23"/>
        <v/>
      </c>
      <c r="C161" s="323" t="str">
        <f t="shared" ca="1" si="24"/>
        <v/>
      </c>
      <c r="D161" s="323" t="str">
        <f t="shared" ca="1" si="25"/>
        <v/>
      </c>
      <c r="E161" s="324" t="str">
        <f t="shared" ca="1" si="26"/>
        <v/>
      </c>
      <c r="F161" s="325" t="str">
        <f t="shared" ca="1" si="27"/>
        <v/>
      </c>
      <c r="G161" s="326" t="str">
        <f t="shared" ca="1" si="28"/>
        <v/>
      </c>
      <c r="H161" s="327" t="str">
        <f t="shared" ca="1" si="29"/>
        <v/>
      </c>
      <c r="I161" s="326" t="str">
        <f t="shared" ca="1" si="30"/>
        <v/>
      </c>
      <c r="J161" s="308" t="str">
        <f t="shared" ca="1" si="22"/>
        <v>预装式变电站</v>
      </c>
      <c r="K161" s="334"/>
    </row>
    <row r="162" spans="1:14" s="317" customFormat="1" ht="18.95" customHeight="1" x14ac:dyDescent="0.15">
      <c r="A162" s="322">
        <f ca="1">COUNTIF(J$65:J162,J162)-1</f>
        <v>96</v>
      </c>
      <c r="B162" s="323" t="str">
        <f t="shared" ca="1" si="23"/>
        <v/>
      </c>
      <c r="C162" s="323" t="str">
        <f t="shared" ca="1" si="24"/>
        <v/>
      </c>
      <c r="D162" s="323" t="str">
        <f t="shared" ca="1" si="25"/>
        <v/>
      </c>
      <c r="E162" s="324" t="str">
        <f t="shared" ca="1" si="26"/>
        <v/>
      </c>
      <c r="F162" s="325" t="str">
        <f t="shared" ca="1" si="27"/>
        <v/>
      </c>
      <c r="G162" s="326" t="str">
        <f t="shared" ca="1" si="28"/>
        <v/>
      </c>
      <c r="H162" s="327" t="str">
        <f t="shared" ca="1" si="29"/>
        <v/>
      </c>
      <c r="I162" s="326" t="str">
        <f t="shared" ca="1" si="30"/>
        <v/>
      </c>
      <c r="J162" s="314" t="str">
        <f t="shared" ca="1" si="22"/>
        <v>预装式变电站</v>
      </c>
      <c r="K162" s="316"/>
    </row>
    <row r="163" spans="1:14" s="317" customFormat="1" ht="18.95" customHeight="1" x14ac:dyDescent="0.15">
      <c r="A163" s="322">
        <f ca="1">COUNTIF(J$65:J163,J163)-1</f>
        <v>97</v>
      </c>
      <c r="B163" s="323" t="str">
        <f t="shared" ca="1" si="23"/>
        <v/>
      </c>
      <c r="C163" s="323" t="str">
        <f t="shared" ca="1" si="24"/>
        <v/>
      </c>
      <c r="D163" s="323" t="str">
        <f t="shared" ca="1" si="25"/>
        <v/>
      </c>
      <c r="E163" s="324" t="str">
        <f t="shared" ca="1" si="26"/>
        <v/>
      </c>
      <c r="F163" s="325" t="str">
        <f t="shared" ca="1" si="27"/>
        <v/>
      </c>
      <c r="G163" s="326" t="str">
        <f t="shared" ca="1" si="28"/>
        <v/>
      </c>
      <c r="H163" s="327" t="str">
        <f t="shared" ca="1" si="29"/>
        <v/>
      </c>
      <c r="I163" s="326" t="str">
        <f t="shared" ca="1" si="30"/>
        <v/>
      </c>
      <c r="J163" s="314" t="str">
        <f t="shared" ca="1" si="22"/>
        <v>预装式变电站</v>
      </c>
      <c r="K163" s="316"/>
    </row>
    <row r="164" spans="1:14" s="317" customFormat="1" ht="18.95" customHeight="1" x14ac:dyDescent="0.15">
      <c r="A164" s="322">
        <f ca="1">COUNTIF(J$65:J164,J164)-1</f>
        <v>98</v>
      </c>
      <c r="B164" s="323" t="str">
        <f t="shared" ca="1" si="23"/>
        <v/>
      </c>
      <c r="C164" s="323" t="str">
        <f t="shared" ca="1" si="24"/>
        <v/>
      </c>
      <c r="D164" s="323" t="str">
        <f t="shared" ca="1" si="25"/>
        <v/>
      </c>
      <c r="E164" s="324" t="str">
        <f t="shared" ca="1" si="26"/>
        <v/>
      </c>
      <c r="F164" s="325" t="str">
        <f t="shared" ca="1" si="27"/>
        <v/>
      </c>
      <c r="G164" s="326" t="str">
        <f t="shared" ca="1" si="28"/>
        <v/>
      </c>
      <c r="H164" s="327" t="str">
        <f t="shared" ca="1" si="29"/>
        <v/>
      </c>
      <c r="I164" s="326" t="str">
        <f t="shared" ca="1" si="30"/>
        <v/>
      </c>
      <c r="J164" s="308" t="str">
        <f t="shared" ca="1" si="22"/>
        <v>预装式变电站</v>
      </c>
      <c r="K164" s="334"/>
    </row>
    <row r="165" spans="1:14" s="317" customFormat="1" ht="18.95" customHeight="1" x14ac:dyDescent="0.15">
      <c r="A165" s="322">
        <f ca="1">COUNTIF(J$65:J165,J165)-1</f>
        <v>99</v>
      </c>
      <c r="B165" s="323" t="str">
        <f t="shared" ca="1" si="23"/>
        <v/>
      </c>
      <c r="C165" s="323" t="str">
        <f t="shared" ca="1" si="24"/>
        <v/>
      </c>
      <c r="D165" s="323" t="str">
        <f t="shared" ca="1" si="25"/>
        <v/>
      </c>
      <c r="E165" s="324" t="str">
        <f t="shared" ca="1" si="26"/>
        <v/>
      </c>
      <c r="F165" s="325" t="str">
        <f t="shared" ca="1" si="27"/>
        <v/>
      </c>
      <c r="G165" s="326" t="str">
        <f t="shared" ca="1" si="28"/>
        <v/>
      </c>
      <c r="H165" s="327" t="str">
        <f t="shared" ca="1" si="29"/>
        <v/>
      </c>
      <c r="I165" s="326" t="str">
        <f t="shared" ca="1" si="30"/>
        <v/>
      </c>
      <c r="J165" s="314" t="str">
        <f t="shared" ca="1" si="22"/>
        <v>预装式变电站</v>
      </c>
      <c r="K165" s="316"/>
    </row>
    <row r="166" spans="1:14" s="317" customFormat="1" ht="18.95" customHeight="1" x14ac:dyDescent="0.15">
      <c r="A166" s="322">
        <f ca="1">COUNTIF(J$65:J166,J166)-1</f>
        <v>100</v>
      </c>
      <c r="B166" s="323" t="str">
        <f t="shared" ca="1" si="23"/>
        <v/>
      </c>
      <c r="C166" s="323" t="str">
        <f t="shared" ca="1" si="24"/>
        <v/>
      </c>
      <c r="D166" s="323" t="str">
        <f t="shared" ca="1" si="25"/>
        <v/>
      </c>
      <c r="E166" s="324" t="str">
        <f t="shared" ca="1" si="26"/>
        <v/>
      </c>
      <c r="F166" s="325" t="str">
        <f t="shared" ca="1" si="27"/>
        <v/>
      </c>
      <c r="G166" s="326" t="str">
        <f t="shared" ca="1" si="28"/>
        <v/>
      </c>
      <c r="H166" s="327" t="str">
        <f t="shared" ca="1" si="29"/>
        <v/>
      </c>
      <c r="I166" s="326" t="str">
        <f t="shared" ca="1" si="30"/>
        <v/>
      </c>
      <c r="J166" s="308" t="str">
        <f t="shared" ca="1" si="22"/>
        <v>预装式变电站</v>
      </c>
      <c r="K166" s="334"/>
    </row>
    <row r="167" spans="1:14" ht="12" customHeight="1" x14ac:dyDescent="0.15">
      <c r="A167" s="448"/>
      <c r="B167" s="449"/>
      <c r="C167" s="449"/>
      <c r="D167" s="449"/>
      <c r="E167" s="449"/>
      <c r="F167" s="449"/>
      <c r="G167" s="449"/>
      <c r="H167" s="449"/>
      <c r="I167" s="450"/>
      <c r="J167" s="314" t="str">
        <f t="shared" ref="J167:J168" ca="1" si="31">INDIRECT("J"&amp;ROW()-1)</f>
        <v>预装式变电站</v>
      </c>
    </row>
    <row r="168" spans="1:14" ht="21" customHeight="1" x14ac:dyDescent="0.15">
      <c r="A168" s="451" t="str">
        <f ca="1">J168&amp;"合计："</f>
        <v>预装式变电站合计：</v>
      </c>
      <c r="B168" s="452"/>
      <c r="C168" s="452"/>
      <c r="D168" s="453"/>
      <c r="E168" s="454" t="str">
        <f ca="1">SUM(F65:F167)&amp;"台"</f>
        <v>61台</v>
      </c>
      <c r="F168" s="455"/>
      <c r="G168" s="445">
        <f ca="1">SUM(H65:H167)</f>
        <v>879214</v>
      </c>
      <c r="H168" s="445"/>
      <c r="I168" s="445"/>
      <c r="J168" s="314" t="str">
        <f t="shared" ca="1" si="31"/>
        <v>预装式变电站</v>
      </c>
      <c r="L168" s="414" t="s">
        <v>2624</v>
      </c>
      <c r="M168" s="415"/>
      <c r="N168" s="415"/>
    </row>
    <row r="169" spans="1:14" s="312" customFormat="1" ht="24" customHeight="1" x14ac:dyDescent="0.15">
      <c r="A169" s="447" t="s">
        <v>2341</v>
      </c>
      <c r="B169" s="447"/>
      <c r="C169" s="320"/>
      <c r="D169" s="320"/>
      <c r="E169" s="321"/>
      <c r="F169" s="321"/>
      <c r="J169" s="314" t="str">
        <f>IF(ISNUMBER(FIND("配电柜",A169)),LEFT(A169,LEN(A169)-3),A169)</f>
        <v>高压开闭所</v>
      </c>
      <c r="L169" s="317"/>
      <c r="M169" s="317"/>
      <c r="N169" s="317"/>
    </row>
    <row r="170" spans="1:14" ht="18.95" customHeight="1" x14ac:dyDescent="0.15">
      <c r="A170" s="322">
        <f ca="1">COUNTIF(J$65:J170,J170)-1</f>
        <v>1</v>
      </c>
      <c r="B170" s="323" t="str">
        <f t="shared" ref="B170:B186" ca="1" si="32">IFERROR(VLOOKUP(A170,INDIRECT("'"&amp;J170&amp;"'!A:I"),2,FALSE),"")</f>
        <v>高压进线柜</v>
      </c>
      <c r="C170" s="323" t="str">
        <f t="shared" ref="C170:C186" ca="1" si="33">IFERROR(VLOOKUP(A170,INDIRECT("'"&amp;J170&amp;"'!A:I"),8,FALSE)&amp;":"&amp;VLOOKUP(A170,INDIRECT("'"&amp;J170&amp;"'!A:I"),3,FALSE),"")</f>
        <v>HXGN:AH01</v>
      </c>
      <c r="D170" s="323" t="str">
        <f t="shared" ref="D170:D186" ca="1" si="34">IF(B170="","",IF(VLOOKUP(A170,INDIRECT("'"&amp;J170&amp;"'!A:I"),4,FALSE)="","",IFERROR(VLOOKUP(A170,INDIRECT("'"&amp;J170&amp;"'!A:I"),4,FALSE),"")))</f>
        <v>1#</v>
      </c>
      <c r="E170" s="324" t="str">
        <f t="shared" ref="E170:E186" ca="1" si="35">IFERROR(VLOOKUP(A170,INDIRECT("'"&amp;J170&amp;"'!A:I"),5,FALSE),"")</f>
        <v>台</v>
      </c>
      <c r="F170" s="325">
        <f t="shared" ref="F170:F186" ca="1" si="36">IFERROR(VLOOKUP(A170,INDIRECT("'"&amp;J170&amp;"'!A:I"),6,FALSE),"")</f>
        <v>1</v>
      </c>
      <c r="G170" s="326">
        <f t="shared" ref="G170:G186" ca="1" si="37">IFERROR(VLOOKUP(A170,INDIRECT("'"&amp;J170&amp;"'!A:I"),7,FALSE),"")</f>
        <v>18005</v>
      </c>
      <c r="H170" s="327">
        <f t="shared" ref="H170:H186" ca="1" si="38">IFERROR(F170*G170,"")</f>
        <v>18005</v>
      </c>
      <c r="I170" s="326" t="str">
        <f t="shared" ref="I170:I186" ca="1" si="39">IF(B170="","",IF(VLOOKUP(A170,INDIRECT("'"&amp;J170&amp;"'!A:J"),9,FALSE)="","",IFERROR(VLOOKUP(A170,INDIRECT("'"&amp;J170&amp;"'!A:J"),9,FALSE),"")))</f>
        <v>900*1000*2200</v>
      </c>
      <c r="J170" s="314" t="str">
        <f ca="1">INDIRECT("J"&amp;ROW()-1)</f>
        <v>高压开闭所</v>
      </c>
    </row>
    <row r="171" spans="1:14" ht="18.95" customHeight="1" x14ac:dyDescent="0.15">
      <c r="A171" s="322">
        <f ca="1">COUNTIF(J$65:J171,J171)-1</f>
        <v>2</v>
      </c>
      <c r="B171" s="323" t="str">
        <f t="shared" ca="1" si="32"/>
        <v>高压进线柜</v>
      </c>
      <c r="C171" s="323" t="str">
        <f t="shared" ca="1" si="33"/>
        <v>HXGN:AH02.03</v>
      </c>
      <c r="D171" s="323" t="str">
        <f t="shared" ca="1" si="34"/>
        <v>1#</v>
      </c>
      <c r="E171" s="324" t="str">
        <f t="shared" ca="1" si="35"/>
        <v>台</v>
      </c>
      <c r="F171" s="325">
        <f t="shared" ca="1" si="36"/>
        <v>1</v>
      </c>
      <c r="G171" s="326">
        <f t="shared" ca="1" si="37"/>
        <v>14589</v>
      </c>
      <c r="H171" s="327">
        <f t="shared" ca="1" si="38"/>
        <v>14589</v>
      </c>
      <c r="I171" s="326" t="str">
        <f t="shared" ca="1" si="39"/>
        <v>900*1000*2200</v>
      </c>
      <c r="J171" s="314" t="str">
        <f t="shared" ref="J171:J191" ca="1" si="40">INDIRECT("J"&amp;ROW()-1)</f>
        <v>高压开闭所</v>
      </c>
    </row>
    <row r="172" spans="1:14" ht="18.95" customHeight="1" x14ac:dyDescent="0.15">
      <c r="A172" s="322">
        <f ca="1">COUNTIF(J$65:J172,J172)-1</f>
        <v>3</v>
      </c>
      <c r="B172" s="323" t="str">
        <f t="shared" ca="1" si="32"/>
        <v>箱体及辅助材料</v>
      </c>
      <c r="C172" s="323" t="str">
        <f t="shared" ca="1" si="33"/>
        <v>DFW:一进两出</v>
      </c>
      <c r="D172" s="323" t="str">
        <f t="shared" ca="1" si="34"/>
        <v>1#</v>
      </c>
      <c r="E172" s="324" t="str">
        <f t="shared" ca="1" si="35"/>
        <v>台</v>
      </c>
      <c r="F172" s="325">
        <f t="shared" ca="1" si="36"/>
        <v>1</v>
      </c>
      <c r="G172" s="326">
        <f t="shared" ca="1" si="37"/>
        <v>18870</v>
      </c>
      <c r="H172" s="327">
        <f t="shared" ca="1" si="38"/>
        <v>18870</v>
      </c>
      <c r="I172" s="326" t="str">
        <f t="shared" ca="1" si="39"/>
        <v>3200*1500*2650</v>
      </c>
      <c r="J172" s="314" t="str">
        <f t="shared" ca="1" si="40"/>
        <v>高压开闭所</v>
      </c>
    </row>
    <row r="173" spans="1:14" ht="18.95" customHeight="1" x14ac:dyDescent="0.15">
      <c r="A173" s="322">
        <f ca="1">COUNTIF(J$65:J173,J173)-1</f>
        <v>4</v>
      </c>
      <c r="B173" s="323" t="str">
        <f t="shared" ca="1" si="32"/>
        <v/>
      </c>
      <c r="C173" s="323" t="str">
        <f t="shared" ca="1" si="33"/>
        <v/>
      </c>
      <c r="D173" s="323" t="str">
        <f t="shared" ca="1" si="34"/>
        <v/>
      </c>
      <c r="E173" s="324" t="str">
        <f t="shared" ca="1" si="35"/>
        <v/>
      </c>
      <c r="F173" s="325" t="str">
        <f t="shared" ca="1" si="36"/>
        <v/>
      </c>
      <c r="G173" s="326" t="str">
        <f t="shared" ca="1" si="37"/>
        <v/>
      </c>
      <c r="H173" s="327" t="str">
        <f t="shared" ca="1" si="38"/>
        <v/>
      </c>
      <c r="I173" s="326" t="str">
        <f t="shared" ca="1" si="39"/>
        <v/>
      </c>
      <c r="J173" s="308" t="str">
        <f t="shared" ca="1" si="40"/>
        <v>高压开闭所</v>
      </c>
      <c r="K173" s="334"/>
    </row>
    <row r="174" spans="1:14" ht="18.95" customHeight="1" x14ac:dyDescent="0.15">
      <c r="A174" s="322">
        <f ca="1">COUNTIF(J$65:J174,J174)-1</f>
        <v>5</v>
      </c>
      <c r="B174" s="323" t="str">
        <f t="shared" ca="1" si="32"/>
        <v/>
      </c>
      <c r="C174" s="323" t="str">
        <f t="shared" ca="1" si="33"/>
        <v/>
      </c>
      <c r="D174" s="323" t="str">
        <f t="shared" ca="1" si="34"/>
        <v/>
      </c>
      <c r="E174" s="324" t="str">
        <f t="shared" ca="1" si="35"/>
        <v/>
      </c>
      <c r="F174" s="325" t="str">
        <f t="shared" ca="1" si="36"/>
        <v/>
      </c>
      <c r="G174" s="326" t="str">
        <f t="shared" ca="1" si="37"/>
        <v/>
      </c>
      <c r="H174" s="327" t="str">
        <f t="shared" ca="1" si="38"/>
        <v/>
      </c>
      <c r="I174" s="326" t="str">
        <f t="shared" ca="1" si="39"/>
        <v/>
      </c>
      <c r="J174" s="308" t="str">
        <f t="shared" ca="1" si="40"/>
        <v>高压开闭所</v>
      </c>
      <c r="K174" s="334"/>
    </row>
    <row r="175" spans="1:14" ht="18.95" customHeight="1" x14ac:dyDescent="0.15">
      <c r="A175" s="322">
        <f ca="1">COUNTIF(J$65:J175,J175)-1</f>
        <v>6</v>
      </c>
      <c r="B175" s="323" t="str">
        <f t="shared" ca="1" si="32"/>
        <v/>
      </c>
      <c r="C175" s="323" t="str">
        <f t="shared" ca="1" si="33"/>
        <v/>
      </c>
      <c r="D175" s="323" t="str">
        <f t="shared" ca="1" si="34"/>
        <v/>
      </c>
      <c r="E175" s="324" t="str">
        <f t="shared" ca="1" si="35"/>
        <v/>
      </c>
      <c r="F175" s="325" t="str">
        <f t="shared" ca="1" si="36"/>
        <v/>
      </c>
      <c r="G175" s="326" t="str">
        <f t="shared" ca="1" si="37"/>
        <v/>
      </c>
      <c r="H175" s="327" t="str">
        <f t="shared" ca="1" si="38"/>
        <v/>
      </c>
      <c r="I175" s="326" t="str">
        <f t="shared" ca="1" si="39"/>
        <v/>
      </c>
      <c r="J175" s="314" t="str">
        <f t="shared" ca="1" si="40"/>
        <v>高压开闭所</v>
      </c>
    </row>
    <row r="176" spans="1:14" ht="18.95" customHeight="1" x14ac:dyDescent="0.15">
      <c r="A176" s="322">
        <f ca="1">COUNTIF(J$65:J176,J176)-1</f>
        <v>7</v>
      </c>
      <c r="B176" s="323" t="str">
        <f t="shared" ca="1" si="32"/>
        <v/>
      </c>
      <c r="C176" s="323" t="str">
        <f t="shared" ca="1" si="33"/>
        <v/>
      </c>
      <c r="D176" s="323" t="str">
        <f t="shared" ca="1" si="34"/>
        <v/>
      </c>
      <c r="E176" s="324" t="str">
        <f t="shared" ca="1" si="35"/>
        <v/>
      </c>
      <c r="F176" s="325" t="str">
        <f t="shared" ca="1" si="36"/>
        <v/>
      </c>
      <c r="G176" s="326" t="str">
        <f t="shared" ca="1" si="37"/>
        <v/>
      </c>
      <c r="H176" s="327" t="str">
        <f t="shared" ca="1" si="38"/>
        <v/>
      </c>
      <c r="I176" s="326" t="str">
        <f t="shared" ca="1" si="39"/>
        <v/>
      </c>
      <c r="J176" s="314" t="str">
        <f t="shared" ca="1" si="40"/>
        <v>高压开闭所</v>
      </c>
    </row>
    <row r="177" spans="1:14" ht="18.95" customHeight="1" x14ac:dyDescent="0.15">
      <c r="A177" s="322">
        <f ca="1">COUNTIF(J$65:J177,J177)-1</f>
        <v>8</v>
      </c>
      <c r="B177" s="323" t="str">
        <f t="shared" ca="1" si="32"/>
        <v/>
      </c>
      <c r="C177" s="323" t="str">
        <f t="shared" ca="1" si="33"/>
        <v/>
      </c>
      <c r="D177" s="323" t="str">
        <f t="shared" ca="1" si="34"/>
        <v/>
      </c>
      <c r="E177" s="324" t="str">
        <f t="shared" ca="1" si="35"/>
        <v/>
      </c>
      <c r="F177" s="325" t="str">
        <f t="shared" ca="1" si="36"/>
        <v/>
      </c>
      <c r="G177" s="326" t="str">
        <f t="shared" ca="1" si="37"/>
        <v/>
      </c>
      <c r="H177" s="327" t="str">
        <f t="shared" ca="1" si="38"/>
        <v/>
      </c>
      <c r="I177" s="326" t="str">
        <f t="shared" ca="1" si="39"/>
        <v/>
      </c>
      <c r="J177" s="308" t="str">
        <f t="shared" ca="1" si="40"/>
        <v>高压开闭所</v>
      </c>
      <c r="K177" s="334"/>
    </row>
    <row r="178" spans="1:14" ht="18.95" customHeight="1" x14ac:dyDescent="0.15">
      <c r="A178" s="322">
        <f ca="1">COUNTIF(J$65:J178,J178)-1</f>
        <v>9</v>
      </c>
      <c r="B178" s="323" t="str">
        <f t="shared" ca="1" si="32"/>
        <v/>
      </c>
      <c r="C178" s="323" t="str">
        <f t="shared" ca="1" si="33"/>
        <v/>
      </c>
      <c r="D178" s="323" t="str">
        <f t="shared" ca="1" si="34"/>
        <v/>
      </c>
      <c r="E178" s="324" t="str">
        <f t="shared" ca="1" si="35"/>
        <v/>
      </c>
      <c r="F178" s="325" t="str">
        <f t="shared" ca="1" si="36"/>
        <v/>
      </c>
      <c r="G178" s="326" t="str">
        <f t="shared" ca="1" si="37"/>
        <v/>
      </c>
      <c r="H178" s="327" t="str">
        <f t="shared" ca="1" si="38"/>
        <v/>
      </c>
      <c r="I178" s="326" t="str">
        <f t="shared" ca="1" si="39"/>
        <v/>
      </c>
      <c r="J178" s="314" t="str">
        <f t="shared" ca="1" si="40"/>
        <v>高压开闭所</v>
      </c>
    </row>
    <row r="179" spans="1:14" ht="18.95" customHeight="1" x14ac:dyDescent="0.15">
      <c r="A179" s="322">
        <f ca="1">COUNTIF(J$65:J179,J179)-1</f>
        <v>10</v>
      </c>
      <c r="B179" s="323" t="str">
        <f t="shared" ca="1" si="32"/>
        <v/>
      </c>
      <c r="C179" s="323" t="str">
        <f t="shared" ca="1" si="33"/>
        <v/>
      </c>
      <c r="D179" s="323" t="str">
        <f t="shared" ca="1" si="34"/>
        <v/>
      </c>
      <c r="E179" s="324" t="str">
        <f t="shared" ca="1" si="35"/>
        <v/>
      </c>
      <c r="F179" s="325" t="str">
        <f t="shared" ca="1" si="36"/>
        <v/>
      </c>
      <c r="G179" s="326" t="str">
        <f t="shared" ca="1" si="37"/>
        <v/>
      </c>
      <c r="H179" s="327" t="str">
        <f t="shared" ca="1" si="38"/>
        <v/>
      </c>
      <c r="I179" s="326" t="str">
        <f t="shared" ca="1" si="39"/>
        <v/>
      </c>
      <c r="J179" s="308" t="str">
        <f t="shared" ca="1" si="40"/>
        <v>高压开闭所</v>
      </c>
      <c r="K179" s="334"/>
    </row>
    <row r="180" spans="1:14" ht="18.95" customHeight="1" x14ac:dyDescent="0.15">
      <c r="A180" s="322">
        <f ca="1">COUNTIF(J$65:J180,J180)-1</f>
        <v>11</v>
      </c>
      <c r="B180" s="323" t="str">
        <f t="shared" ca="1" si="32"/>
        <v/>
      </c>
      <c r="C180" s="323" t="str">
        <f t="shared" ca="1" si="33"/>
        <v/>
      </c>
      <c r="D180" s="323" t="str">
        <f t="shared" ca="1" si="34"/>
        <v/>
      </c>
      <c r="E180" s="324" t="str">
        <f t="shared" ca="1" si="35"/>
        <v/>
      </c>
      <c r="F180" s="325" t="str">
        <f t="shared" ca="1" si="36"/>
        <v/>
      </c>
      <c r="G180" s="326" t="str">
        <f t="shared" ca="1" si="37"/>
        <v/>
      </c>
      <c r="H180" s="327" t="str">
        <f t="shared" ca="1" si="38"/>
        <v/>
      </c>
      <c r="I180" s="326" t="str">
        <f t="shared" ca="1" si="39"/>
        <v/>
      </c>
      <c r="J180" s="308" t="str">
        <f t="shared" ca="1" si="40"/>
        <v>高压开闭所</v>
      </c>
      <c r="K180" s="334"/>
    </row>
    <row r="181" spans="1:14" ht="18.95" customHeight="1" x14ac:dyDescent="0.15">
      <c r="A181" s="322">
        <f ca="1">COUNTIF(J$65:J181,J181)-1</f>
        <v>12</v>
      </c>
      <c r="B181" s="323" t="str">
        <f t="shared" ca="1" si="32"/>
        <v/>
      </c>
      <c r="C181" s="323" t="str">
        <f t="shared" ca="1" si="33"/>
        <v/>
      </c>
      <c r="D181" s="323" t="str">
        <f t="shared" ca="1" si="34"/>
        <v/>
      </c>
      <c r="E181" s="324" t="str">
        <f t="shared" ca="1" si="35"/>
        <v/>
      </c>
      <c r="F181" s="325" t="str">
        <f t="shared" ca="1" si="36"/>
        <v/>
      </c>
      <c r="G181" s="326" t="str">
        <f t="shared" ca="1" si="37"/>
        <v/>
      </c>
      <c r="H181" s="327" t="str">
        <f t="shared" ca="1" si="38"/>
        <v/>
      </c>
      <c r="I181" s="326" t="str">
        <f t="shared" ca="1" si="39"/>
        <v/>
      </c>
      <c r="J181" s="314" t="str">
        <f t="shared" ca="1" si="40"/>
        <v>高压开闭所</v>
      </c>
    </row>
    <row r="182" spans="1:14" s="317" customFormat="1" ht="18.95" customHeight="1" x14ac:dyDescent="0.15">
      <c r="A182" s="322">
        <f ca="1">COUNTIF(J$65:J182,J182)-1</f>
        <v>13</v>
      </c>
      <c r="B182" s="323" t="str">
        <f t="shared" ca="1" si="32"/>
        <v/>
      </c>
      <c r="C182" s="323" t="str">
        <f t="shared" ca="1" si="33"/>
        <v/>
      </c>
      <c r="D182" s="323" t="str">
        <f t="shared" ca="1" si="34"/>
        <v/>
      </c>
      <c r="E182" s="324" t="str">
        <f t="shared" ca="1" si="35"/>
        <v/>
      </c>
      <c r="F182" s="325" t="str">
        <f t="shared" ca="1" si="36"/>
        <v/>
      </c>
      <c r="G182" s="326" t="str">
        <f t="shared" ca="1" si="37"/>
        <v/>
      </c>
      <c r="H182" s="327" t="str">
        <f t="shared" ca="1" si="38"/>
        <v/>
      </c>
      <c r="I182" s="326" t="str">
        <f t="shared" ca="1" si="39"/>
        <v/>
      </c>
      <c r="J182" s="314" t="str">
        <f t="shared" ca="1" si="40"/>
        <v>高压开闭所</v>
      </c>
      <c r="K182" s="316"/>
    </row>
    <row r="183" spans="1:14" s="317" customFormat="1" ht="18.95" customHeight="1" x14ac:dyDescent="0.15">
      <c r="A183" s="322">
        <f ca="1">COUNTIF(J$65:J183,J183)-1</f>
        <v>14</v>
      </c>
      <c r="B183" s="323" t="str">
        <f t="shared" ca="1" si="32"/>
        <v/>
      </c>
      <c r="C183" s="323" t="str">
        <f t="shared" ca="1" si="33"/>
        <v/>
      </c>
      <c r="D183" s="323" t="str">
        <f t="shared" ca="1" si="34"/>
        <v/>
      </c>
      <c r="E183" s="324" t="str">
        <f t="shared" ca="1" si="35"/>
        <v/>
      </c>
      <c r="F183" s="325" t="str">
        <f t="shared" ca="1" si="36"/>
        <v/>
      </c>
      <c r="G183" s="326" t="str">
        <f t="shared" ca="1" si="37"/>
        <v/>
      </c>
      <c r="H183" s="327" t="str">
        <f t="shared" ca="1" si="38"/>
        <v/>
      </c>
      <c r="I183" s="326" t="str">
        <f t="shared" ca="1" si="39"/>
        <v/>
      </c>
      <c r="J183" s="308" t="str">
        <f t="shared" ca="1" si="40"/>
        <v>高压开闭所</v>
      </c>
      <c r="K183" s="334"/>
    </row>
    <row r="184" spans="1:14" s="317" customFormat="1" ht="18.95" customHeight="1" x14ac:dyDescent="0.15">
      <c r="A184" s="322">
        <f ca="1">COUNTIF(J$65:J184,J184)-1</f>
        <v>15</v>
      </c>
      <c r="B184" s="323" t="str">
        <f t="shared" ca="1" si="32"/>
        <v/>
      </c>
      <c r="C184" s="323" t="str">
        <f t="shared" ca="1" si="33"/>
        <v/>
      </c>
      <c r="D184" s="323" t="str">
        <f t="shared" ca="1" si="34"/>
        <v/>
      </c>
      <c r="E184" s="324" t="str">
        <f t="shared" ca="1" si="35"/>
        <v/>
      </c>
      <c r="F184" s="325" t="str">
        <f t="shared" ca="1" si="36"/>
        <v/>
      </c>
      <c r="G184" s="326" t="str">
        <f t="shared" ca="1" si="37"/>
        <v/>
      </c>
      <c r="H184" s="327" t="str">
        <f t="shared" ca="1" si="38"/>
        <v/>
      </c>
      <c r="I184" s="326" t="str">
        <f t="shared" ca="1" si="39"/>
        <v/>
      </c>
      <c r="J184" s="308" t="str">
        <f t="shared" ca="1" si="40"/>
        <v>高压开闭所</v>
      </c>
      <c r="K184" s="334"/>
    </row>
    <row r="185" spans="1:14" s="317" customFormat="1" ht="18.95" customHeight="1" x14ac:dyDescent="0.15">
      <c r="A185" s="322">
        <f ca="1">COUNTIF(J$65:J185,J185)-1</f>
        <v>16</v>
      </c>
      <c r="B185" s="323" t="str">
        <f t="shared" ca="1" si="32"/>
        <v/>
      </c>
      <c r="C185" s="323" t="str">
        <f t="shared" ca="1" si="33"/>
        <v/>
      </c>
      <c r="D185" s="323" t="str">
        <f t="shared" ca="1" si="34"/>
        <v/>
      </c>
      <c r="E185" s="324" t="str">
        <f t="shared" ca="1" si="35"/>
        <v/>
      </c>
      <c r="F185" s="325" t="str">
        <f t="shared" ca="1" si="36"/>
        <v/>
      </c>
      <c r="G185" s="326" t="str">
        <f t="shared" ca="1" si="37"/>
        <v/>
      </c>
      <c r="H185" s="327" t="str">
        <f t="shared" ca="1" si="38"/>
        <v/>
      </c>
      <c r="I185" s="326" t="str">
        <f t="shared" ca="1" si="39"/>
        <v/>
      </c>
      <c r="J185" s="314" t="str">
        <f ca="1">INDIRECT("J"&amp;ROW()-1)</f>
        <v>高压开闭所</v>
      </c>
      <c r="K185" s="316"/>
    </row>
    <row r="186" spans="1:14" s="317" customFormat="1" ht="18.95" customHeight="1" x14ac:dyDescent="0.15">
      <c r="A186" s="322">
        <f ca="1">COUNTIF(J$65:J186,J186)-1</f>
        <v>17</v>
      </c>
      <c r="B186" s="323" t="str">
        <f t="shared" ca="1" si="32"/>
        <v/>
      </c>
      <c r="C186" s="323" t="str">
        <f t="shared" ca="1" si="33"/>
        <v/>
      </c>
      <c r="D186" s="323" t="str">
        <f t="shared" ca="1" si="34"/>
        <v/>
      </c>
      <c r="E186" s="324" t="str">
        <f t="shared" ca="1" si="35"/>
        <v/>
      </c>
      <c r="F186" s="325" t="str">
        <f t="shared" ca="1" si="36"/>
        <v/>
      </c>
      <c r="G186" s="326" t="str">
        <f t="shared" ca="1" si="37"/>
        <v/>
      </c>
      <c r="H186" s="327" t="str">
        <f t="shared" ca="1" si="38"/>
        <v/>
      </c>
      <c r="I186" s="326" t="str">
        <f t="shared" ca="1" si="39"/>
        <v/>
      </c>
      <c r="J186" s="314" t="str">
        <f t="shared" ca="1" si="40"/>
        <v>高压开闭所</v>
      </c>
      <c r="K186" s="316"/>
    </row>
    <row r="187" spans="1:14" s="317" customFormat="1" ht="18.95" customHeight="1" x14ac:dyDescent="0.15">
      <c r="A187" s="322">
        <f ca="1">COUNTIF(J$65:J187,J187)-1</f>
        <v>18</v>
      </c>
      <c r="B187" s="323" t="str">
        <f ca="1">IFERROR(VLOOKUP(A187,INDIRECT("'"&amp;J187&amp;"'!A:I"),2,FALSE),"")</f>
        <v/>
      </c>
      <c r="C187" s="323" t="str">
        <f ca="1">IFERROR(VLOOKUP(A187,INDIRECT("'"&amp;J187&amp;"'!A:I"),8,FALSE)&amp;":"&amp;VLOOKUP(A187,INDIRECT("'"&amp;J187&amp;"'!A:I"),3,FALSE),"")</f>
        <v/>
      </c>
      <c r="D187" s="323" t="str">
        <f ca="1">IF(B187="","",IF(VLOOKUP(A187,INDIRECT("'"&amp;J187&amp;"'!A:I"),4,FALSE)="","",IFERROR(VLOOKUP(A187,INDIRECT("'"&amp;J187&amp;"'!A:I"),4,FALSE),"")))</f>
        <v/>
      </c>
      <c r="E187" s="324" t="str">
        <f ca="1">IFERROR(VLOOKUP(A187,INDIRECT("'"&amp;J187&amp;"'!A:I"),5,FALSE),"")</f>
        <v/>
      </c>
      <c r="F187" s="325" t="str">
        <f ca="1">IFERROR(VLOOKUP(A187,INDIRECT("'"&amp;J187&amp;"'!A:I"),6,FALSE),"")</f>
        <v/>
      </c>
      <c r="G187" s="326" t="str">
        <f ca="1">IFERROR(VLOOKUP(A187,INDIRECT("'"&amp;J187&amp;"'!A:I"),7,FALSE),"")</f>
        <v/>
      </c>
      <c r="H187" s="327" t="str">
        <f ca="1">IFERROR(F187*G187,"")</f>
        <v/>
      </c>
      <c r="I187" s="326" t="str">
        <f ca="1">IF(B187="","",IF(VLOOKUP(A187,INDIRECT("'"&amp;J187&amp;"'!A:J"),9,FALSE)="","",IFERROR(VLOOKUP(A187,INDIRECT("'"&amp;J187&amp;"'!A:J"),9,FALSE),"")))</f>
        <v/>
      </c>
      <c r="J187" s="314" t="str">
        <f t="shared" ca="1" si="40"/>
        <v>高压开闭所</v>
      </c>
      <c r="K187" s="316"/>
    </row>
    <row r="188" spans="1:14" s="317" customFormat="1" ht="18.95" customHeight="1" x14ac:dyDescent="0.15">
      <c r="A188" s="322">
        <f ca="1">COUNTIF(J$65:J188,J188)-1</f>
        <v>19</v>
      </c>
      <c r="B188" s="323" t="str">
        <f ca="1">IFERROR(VLOOKUP(A188,INDIRECT("'"&amp;J188&amp;"'!A:I"),2,FALSE),"")</f>
        <v/>
      </c>
      <c r="C188" s="323" t="str">
        <f ca="1">IFERROR(VLOOKUP(A188,INDIRECT("'"&amp;J188&amp;"'!A:I"),8,FALSE)&amp;":"&amp;VLOOKUP(A188,INDIRECT("'"&amp;J188&amp;"'!A:I"),3,FALSE),"")</f>
        <v/>
      </c>
      <c r="D188" s="323" t="str">
        <f ca="1">IF(B188="","",IF(VLOOKUP(A188,INDIRECT("'"&amp;J188&amp;"'!A:I"),4,FALSE)="","",IFERROR(VLOOKUP(A188,INDIRECT("'"&amp;J188&amp;"'!A:I"),4,FALSE),"")))</f>
        <v/>
      </c>
      <c r="E188" s="324" t="str">
        <f ca="1">IFERROR(VLOOKUP(A188,INDIRECT("'"&amp;J188&amp;"'!A:I"),5,FALSE),"")</f>
        <v/>
      </c>
      <c r="F188" s="325" t="str">
        <f ca="1">IFERROR(VLOOKUP(A188,INDIRECT("'"&amp;J188&amp;"'!A:I"),6,FALSE),"")</f>
        <v/>
      </c>
      <c r="G188" s="326" t="str">
        <f ca="1">IFERROR(VLOOKUP(A188,INDIRECT("'"&amp;J188&amp;"'!A:I"),7,FALSE),"")</f>
        <v/>
      </c>
      <c r="H188" s="327" t="str">
        <f ca="1">IFERROR(F188*G188,"")</f>
        <v/>
      </c>
      <c r="I188" s="326" t="str">
        <f ca="1">IF(B188="","",IF(VLOOKUP(A188,INDIRECT("'"&amp;J188&amp;"'!A:J"),9,FALSE)="","",IFERROR(VLOOKUP(A188,INDIRECT("'"&amp;J188&amp;"'!A:J"),9,FALSE),"")))</f>
        <v/>
      </c>
      <c r="J188" s="308" t="str">
        <f t="shared" ca="1" si="40"/>
        <v>高压开闭所</v>
      </c>
      <c r="K188" s="334"/>
    </row>
    <row r="189" spans="1:14" s="317" customFormat="1" ht="18.95" customHeight="1" x14ac:dyDescent="0.15">
      <c r="A189" s="322">
        <f ca="1">COUNTIF(J$65:J189,J189)-1</f>
        <v>20</v>
      </c>
      <c r="B189" s="323" t="str">
        <f ca="1">IFERROR(VLOOKUP(A189,INDIRECT("'"&amp;J189&amp;"'!A:I"),2,FALSE),"")</f>
        <v/>
      </c>
      <c r="C189" s="323" t="str">
        <f ca="1">IFERROR(VLOOKUP(A189,INDIRECT("'"&amp;J189&amp;"'!A:I"),8,FALSE)&amp;":"&amp;VLOOKUP(A189,INDIRECT("'"&amp;J189&amp;"'!A:I"),3,FALSE),"")</f>
        <v/>
      </c>
      <c r="D189" s="323" t="str">
        <f ca="1">IF(B189="","",IF(VLOOKUP(A189,INDIRECT("'"&amp;J189&amp;"'!A:I"),4,FALSE)="","",IFERROR(VLOOKUP(A189,INDIRECT("'"&amp;J189&amp;"'!A:I"),4,FALSE),"")))</f>
        <v/>
      </c>
      <c r="E189" s="324" t="str">
        <f ca="1">IFERROR(VLOOKUP(A189,INDIRECT("'"&amp;J189&amp;"'!A:I"),5,FALSE),"")</f>
        <v/>
      </c>
      <c r="F189" s="325" t="str">
        <f ca="1">IFERROR(VLOOKUP(A189,INDIRECT("'"&amp;J189&amp;"'!A:I"),6,FALSE),"")</f>
        <v/>
      </c>
      <c r="G189" s="326" t="str">
        <f ca="1">IFERROR(VLOOKUP(A189,INDIRECT("'"&amp;J189&amp;"'!A:I"),7,FALSE),"")</f>
        <v/>
      </c>
      <c r="H189" s="327" t="str">
        <f ca="1">IFERROR(F189*G189,"")</f>
        <v/>
      </c>
      <c r="I189" s="326" t="str">
        <f ca="1">IF(B189="","",IF(VLOOKUP(A189,INDIRECT("'"&amp;J189&amp;"'!A:J"),9,FALSE)="","",IFERROR(VLOOKUP(A189,INDIRECT("'"&amp;J189&amp;"'!A:J"),9,FALSE),"")))</f>
        <v/>
      </c>
      <c r="J189" s="308" t="str">
        <f t="shared" ca="1" si="40"/>
        <v>高压开闭所</v>
      </c>
      <c r="K189" s="334"/>
    </row>
    <row r="190" spans="1:14" ht="12" customHeight="1" x14ac:dyDescent="0.15">
      <c r="A190" s="448"/>
      <c r="B190" s="449"/>
      <c r="C190" s="449"/>
      <c r="D190" s="449"/>
      <c r="E190" s="449"/>
      <c r="F190" s="449"/>
      <c r="G190" s="449"/>
      <c r="H190" s="449"/>
      <c r="I190" s="450"/>
      <c r="J190" s="314" t="str">
        <f t="shared" ca="1" si="40"/>
        <v>高压开闭所</v>
      </c>
    </row>
    <row r="191" spans="1:14" ht="21" customHeight="1" x14ac:dyDescent="0.15">
      <c r="A191" s="451" t="str">
        <f ca="1">J191&amp;"合计："</f>
        <v>高压开闭所合计：</v>
      </c>
      <c r="B191" s="452"/>
      <c r="C191" s="452"/>
      <c r="D191" s="453"/>
      <c r="E191" s="454" t="str">
        <f ca="1">SUM(F168:F190)&amp;"台"</f>
        <v>3台</v>
      </c>
      <c r="F191" s="455"/>
      <c r="G191" s="445">
        <f ca="1">SUM(H168:H190)</f>
        <v>51464</v>
      </c>
      <c r="H191" s="445"/>
      <c r="I191" s="445"/>
      <c r="J191" s="314" t="str">
        <f t="shared" ca="1" si="40"/>
        <v>高压开闭所</v>
      </c>
      <c r="L191" s="414" t="s">
        <v>2624</v>
      </c>
      <c r="M191" s="415"/>
      <c r="N191" s="415"/>
    </row>
    <row r="192" spans="1:14" ht="12" customHeight="1" x14ac:dyDescent="0.15">
      <c r="A192" s="441"/>
      <c r="B192" s="400"/>
      <c r="C192" s="400"/>
      <c r="D192" s="400"/>
      <c r="E192" s="400"/>
      <c r="F192" s="400"/>
      <c r="G192" s="400"/>
      <c r="H192" s="400"/>
      <c r="I192" s="442"/>
      <c r="J192" s="314"/>
    </row>
    <row r="193" spans="1:14" ht="18.95" customHeight="1" x14ac:dyDescent="0.15">
      <c r="A193" s="443" t="s">
        <v>244</v>
      </c>
      <c r="B193" s="443"/>
      <c r="C193" s="443"/>
      <c r="D193" s="444" t="str">
        <f ca="1">SUM(F65:F192)&amp;"台/套"</f>
        <v>64台/套</v>
      </c>
      <c r="E193" s="444"/>
      <c r="F193" s="444"/>
      <c r="G193" s="445">
        <f ca="1">SUM(H65:H192)</f>
        <v>930678</v>
      </c>
      <c r="H193" s="445"/>
      <c r="I193" s="445"/>
      <c r="J193" s="314"/>
      <c r="L193" s="399" t="s">
        <v>2625</v>
      </c>
      <c r="M193" s="399"/>
      <c r="N193" s="399"/>
    </row>
    <row r="194" spans="1:14" ht="18.95" customHeight="1" x14ac:dyDescent="0.15">
      <c r="A194" s="443" t="s">
        <v>245</v>
      </c>
      <c r="B194" s="443"/>
      <c r="C194" s="443"/>
      <c r="D194" s="446" t="str">
        <f ca="1">SUBSTITUTE(SUBSTITUTE(IF(G193&gt;-0.5%,,"负")&amp;TEXT(INT(FIXED(ABS(G193))),"[dbnum2]G/通用格式元;;")&amp;TEXT(RIGHT(FIXED(G193),2),"[dbnum2]0角0分;;"&amp;IF(ABS(G193)&gt;1%,"整",)),"零角",IF(ABS(G193)&lt;1,,"零")),"零分","整")</f>
        <v>玖拾叁万零陆佰柒拾捌元整</v>
      </c>
      <c r="E194" s="446"/>
      <c r="F194" s="446"/>
      <c r="G194" s="446"/>
      <c r="H194" s="446"/>
      <c r="I194" s="446"/>
      <c r="J194" s="314"/>
    </row>
    <row r="195" spans="1:14" s="309" customFormat="1" ht="18.95" customHeight="1" x14ac:dyDescent="0.15">
      <c r="A195" s="431" t="s">
        <v>246</v>
      </c>
      <c r="B195" s="432" t="str">
        <f>B37</f>
        <v>1、上述报价均为出厂价含税，未含现场安装调试费及运费，未含计量仪表，按清单描述.我公司方案。
2、高压真空断路器采用精益联合集团VS1；微机保护装置采用上海桂电GDB；电流/电压互感器（含计量互感器）采用浙江超盛LZZBJ9/JDZ；测量仪表采用指针表。
3、变压器采用SCB10全铜材质，国家标准；箱变外壳采用复合彩钢板，开闭所外壳采用201不锈钢2.0mm。
4、低压框架式断路器采用人民电气RDW1；塑壳断路器采用人民电气RDM1；电容补偿采用九康电气JK；
测量仪表采用指针表。
5、其余元器件按我公司常规配置，报价有效期7天。
6、以上报价仅供参考，具体以技术交底为准，如有变动需另行报价。</v>
      </c>
      <c r="C195" s="433"/>
      <c r="D195" s="433"/>
      <c r="E195" s="433"/>
      <c r="F195" s="433"/>
      <c r="G195" s="433"/>
      <c r="H195" s="433"/>
      <c r="I195" s="434"/>
      <c r="J195" s="331"/>
      <c r="L195" s="317"/>
      <c r="M195" s="317"/>
      <c r="N195" s="317"/>
    </row>
    <row r="196" spans="1:14" s="309" customFormat="1" ht="18.95" customHeight="1" x14ac:dyDescent="0.15">
      <c r="A196" s="431"/>
      <c r="B196" s="435"/>
      <c r="C196" s="436"/>
      <c r="D196" s="436"/>
      <c r="E196" s="436"/>
      <c r="F196" s="436"/>
      <c r="G196" s="436"/>
      <c r="H196" s="436"/>
      <c r="I196" s="437"/>
      <c r="J196" s="331"/>
      <c r="L196" s="317"/>
      <c r="M196" s="317"/>
      <c r="N196" s="317"/>
    </row>
    <row r="197" spans="1:14" s="309" customFormat="1" ht="18.95" customHeight="1" x14ac:dyDescent="0.15">
      <c r="A197" s="431"/>
      <c r="B197" s="435"/>
      <c r="C197" s="436"/>
      <c r="D197" s="436"/>
      <c r="E197" s="436"/>
      <c r="F197" s="436"/>
      <c r="G197" s="436"/>
      <c r="H197" s="436"/>
      <c r="I197" s="437"/>
      <c r="J197" s="331"/>
      <c r="L197" s="317"/>
      <c r="M197" s="317"/>
      <c r="N197" s="317"/>
    </row>
    <row r="198" spans="1:14" s="309" customFormat="1" ht="18.95" customHeight="1" x14ac:dyDescent="0.15">
      <c r="A198" s="431"/>
      <c r="B198" s="435"/>
      <c r="C198" s="436"/>
      <c r="D198" s="436"/>
      <c r="E198" s="436"/>
      <c r="F198" s="436"/>
      <c r="G198" s="436"/>
      <c r="H198" s="436"/>
      <c r="I198" s="437"/>
      <c r="J198" s="331"/>
      <c r="L198" s="317"/>
      <c r="M198" s="317"/>
      <c r="N198" s="317"/>
    </row>
    <row r="199" spans="1:14" s="309" customFormat="1" ht="18.95" customHeight="1" x14ac:dyDescent="0.15">
      <c r="A199" s="431"/>
      <c r="B199" s="435"/>
      <c r="C199" s="436"/>
      <c r="D199" s="436"/>
      <c r="E199" s="436"/>
      <c r="F199" s="436"/>
      <c r="G199" s="436"/>
      <c r="H199" s="436"/>
      <c r="I199" s="437"/>
      <c r="J199" s="331"/>
      <c r="L199" s="317"/>
      <c r="M199" s="317"/>
      <c r="N199" s="317"/>
    </row>
    <row r="200" spans="1:14" s="309" customFormat="1" ht="18.95" customHeight="1" x14ac:dyDescent="0.15">
      <c r="A200" s="431"/>
      <c r="B200" s="435"/>
      <c r="C200" s="436"/>
      <c r="D200" s="436"/>
      <c r="E200" s="436"/>
      <c r="F200" s="436"/>
      <c r="G200" s="436"/>
      <c r="H200" s="436"/>
      <c r="I200" s="437"/>
      <c r="J200" s="331"/>
      <c r="L200" s="317"/>
      <c r="M200" s="317"/>
      <c r="N200" s="317"/>
    </row>
    <row r="201" spans="1:14" s="309" customFormat="1" ht="18.95" customHeight="1" x14ac:dyDescent="0.15">
      <c r="A201" s="431"/>
      <c r="B201" s="435"/>
      <c r="C201" s="436"/>
      <c r="D201" s="436"/>
      <c r="E201" s="436"/>
      <c r="F201" s="436"/>
      <c r="G201" s="436"/>
      <c r="H201" s="436"/>
      <c r="I201" s="437"/>
      <c r="J201" s="331"/>
      <c r="L201" s="317"/>
      <c r="M201" s="317"/>
      <c r="N201" s="317"/>
    </row>
    <row r="202" spans="1:14" s="309" customFormat="1" ht="18.95" customHeight="1" x14ac:dyDescent="0.15">
      <c r="A202" s="431"/>
      <c r="B202" s="435"/>
      <c r="C202" s="436"/>
      <c r="D202" s="436"/>
      <c r="E202" s="436"/>
      <c r="F202" s="436"/>
      <c r="G202" s="436"/>
      <c r="H202" s="436"/>
      <c r="I202" s="437"/>
      <c r="J202" s="331"/>
      <c r="L202" s="317"/>
      <c r="M202" s="317"/>
      <c r="N202" s="317"/>
    </row>
    <row r="203" spans="1:14" s="309" customFormat="1" ht="18.95" customHeight="1" x14ac:dyDescent="0.15">
      <c r="A203" s="431"/>
      <c r="B203" s="438"/>
      <c r="C203" s="439"/>
      <c r="D203" s="439"/>
      <c r="E203" s="439"/>
      <c r="F203" s="439"/>
      <c r="G203" s="439"/>
      <c r="H203" s="439"/>
      <c r="I203" s="440"/>
      <c r="J203" s="331"/>
      <c r="L203" s="317"/>
      <c r="M203" s="317"/>
      <c r="N203" s="317"/>
    </row>
    <row r="204" spans="1:14" s="214" customFormat="1" ht="18.95" customHeight="1" x14ac:dyDescent="0.2">
      <c r="A204" s="420" t="str">
        <f>A46</f>
        <v>报价：叶勤武</v>
      </c>
      <c r="B204" s="420"/>
      <c r="C204" s="420"/>
      <c r="D204" s="421" t="str">
        <f>D46</f>
        <v>审核：</v>
      </c>
      <c r="E204" s="421"/>
      <c r="F204" s="421"/>
      <c r="G204" s="421"/>
      <c r="H204" s="421"/>
      <c r="I204" s="421"/>
      <c r="J204" s="332"/>
      <c r="K204" s="333"/>
    </row>
    <row r="205" spans="1:14" s="214" customFormat="1" ht="18.95" customHeight="1" x14ac:dyDescent="0.2">
      <c r="A205" s="419" t="str">
        <f>A47</f>
        <v>营销联系人：王杰</v>
      </c>
      <c r="B205" s="419"/>
      <c r="C205" s="419"/>
      <c r="D205" s="419" t="str">
        <f>D47</f>
        <v>手机：</v>
      </c>
      <c r="E205" s="419"/>
      <c r="F205" s="419"/>
      <c r="G205" s="419" t="str">
        <f>G47</f>
        <v>邮箱:</v>
      </c>
      <c r="H205" s="419"/>
      <c r="I205" s="419"/>
      <c r="J205" s="332"/>
      <c r="K205" s="333"/>
    </row>
    <row r="206" spans="1:14" s="214" customFormat="1" ht="18.95" customHeight="1" x14ac:dyDescent="0.2">
      <c r="A206" s="419" t="str">
        <f>A48</f>
        <v>地址：经济开发区纬十五路281号</v>
      </c>
      <c r="B206" s="419"/>
      <c r="C206" s="419"/>
      <c r="D206" s="419" t="str">
        <f>D48</f>
        <v xml:space="preserve">电话：0577-61606979         </v>
      </c>
      <c r="E206" s="419"/>
      <c r="F206" s="419"/>
      <c r="G206" s="419" t="str">
        <f>G48</f>
        <v>传真：0577-61606978</v>
      </c>
      <c r="H206" s="419"/>
      <c r="I206" s="419"/>
      <c r="J206" s="332"/>
      <c r="K206" s="333"/>
    </row>
    <row r="207" spans="1:14" s="214" customFormat="1" ht="21.75" customHeight="1" x14ac:dyDescent="0.2">
      <c r="A207" s="430" t="str">
        <f>A49</f>
        <v>http://www.cnjylh.com/</v>
      </c>
      <c r="B207" s="430"/>
      <c r="C207" s="430"/>
      <c r="D207" s="430"/>
      <c r="E207" s="430"/>
      <c r="F207" s="430"/>
      <c r="G207" s="430"/>
      <c r="H207" s="430"/>
      <c r="I207" s="430"/>
      <c r="J207" s="332"/>
      <c r="K207" s="333"/>
    </row>
  </sheetData>
  <mergeCells count="95">
    <mergeCell ref="A4:D4"/>
    <mergeCell ref="L4:N4"/>
    <mergeCell ref="A5:D5"/>
    <mergeCell ref="A6:I6"/>
    <mergeCell ref="A1:I1"/>
    <mergeCell ref="A2:D2"/>
    <mergeCell ref="E2:F2"/>
    <mergeCell ref="G2:I2"/>
    <mergeCell ref="A3:D3"/>
    <mergeCell ref="E3:F3"/>
    <mergeCell ref="G3:I3"/>
    <mergeCell ref="E4:F4"/>
    <mergeCell ref="G4:I4"/>
    <mergeCell ref="E5:F5"/>
    <mergeCell ref="G5:I5"/>
    <mergeCell ref="L33:N33"/>
    <mergeCell ref="A21:B21"/>
    <mergeCell ref="A32:I32"/>
    <mergeCell ref="A33:D33"/>
    <mergeCell ref="E33:F33"/>
    <mergeCell ref="G33:I33"/>
    <mergeCell ref="L168:N168"/>
    <mergeCell ref="L191:N191"/>
    <mergeCell ref="A19:I19"/>
    <mergeCell ref="L35:N35"/>
    <mergeCell ref="L14:N14"/>
    <mergeCell ref="A49:I49"/>
    <mergeCell ref="G20:I20"/>
    <mergeCell ref="A35:C35"/>
    <mergeCell ref="E35:F35"/>
    <mergeCell ref="G35:I35"/>
    <mergeCell ref="A34:I34"/>
    <mergeCell ref="A36:C36"/>
    <mergeCell ref="D36:I36"/>
    <mergeCell ref="A37:A45"/>
    <mergeCell ref="B37:I45"/>
    <mergeCell ref="A46:C46"/>
    <mergeCell ref="A8:B8"/>
    <mergeCell ref="L20:N20"/>
    <mergeCell ref="A13:I13"/>
    <mergeCell ref="A14:D14"/>
    <mergeCell ref="E14:F14"/>
    <mergeCell ref="G14:I14"/>
    <mergeCell ref="A15:B15"/>
    <mergeCell ref="A20:D20"/>
    <mergeCell ref="E20:F20"/>
    <mergeCell ref="A60:C60"/>
    <mergeCell ref="E60:F60"/>
    <mergeCell ref="G60:I60"/>
    <mergeCell ref="A61:C61"/>
    <mergeCell ref="E61:F61"/>
    <mergeCell ref="G61:I61"/>
    <mergeCell ref="D46:I46"/>
    <mergeCell ref="A59:I59"/>
    <mergeCell ref="A47:C47"/>
    <mergeCell ref="D47:F47"/>
    <mergeCell ref="G47:I47"/>
    <mergeCell ref="A48:C48"/>
    <mergeCell ref="D48:F48"/>
    <mergeCell ref="G48:I48"/>
    <mergeCell ref="A62:C62"/>
    <mergeCell ref="E62:F62"/>
    <mergeCell ref="G62:I62"/>
    <mergeCell ref="A63:C63"/>
    <mergeCell ref="E63:F63"/>
    <mergeCell ref="G63:I63"/>
    <mergeCell ref="A64:I64"/>
    <mergeCell ref="A66:B66"/>
    <mergeCell ref="A167:I167"/>
    <mergeCell ref="A168:D168"/>
    <mergeCell ref="E168:F168"/>
    <mergeCell ref="G168:I168"/>
    <mergeCell ref="A169:B169"/>
    <mergeCell ref="A190:I190"/>
    <mergeCell ref="A191:D191"/>
    <mergeCell ref="E191:F191"/>
    <mergeCell ref="G191:I191"/>
    <mergeCell ref="A192:I192"/>
    <mergeCell ref="A193:C193"/>
    <mergeCell ref="D193:F193"/>
    <mergeCell ref="G193:I193"/>
    <mergeCell ref="A194:C194"/>
    <mergeCell ref="D194:I194"/>
    <mergeCell ref="L193:N193"/>
    <mergeCell ref="A206:C206"/>
    <mergeCell ref="D206:F206"/>
    <mergeCell ref="G206:I206"/>
    <mergeCell ref="A207:I207"/>
    <mergeCell ref="A195:A203"/>
    <mergeCell ref="B195:I203"/>
    <mergeCell ref="A204:C204"/>
    <mergeCell ref="D204:I204"/>
    <mergeCell ref="A205:C205"/>
    <mergeCell ref="D205:F205"/>
    <mergeCell ref="G205:I205"/>
  </mergeCells>
  <phoneticPr fontId="25" type="noConversion"/>
  <conditionalFormatting sqref="L20:N20">
    <cfRule type="expression" dxfId="6" priority="11">
      <formula>INDIRECT("b"&amp;ROW()-2)&lt;&gt;""</formula>
    </cfRule>
  </conditionalFormatting>
  <conditionalFormatting sqref="L14:N14">
    <cfRule type="expression" dxfId="5" priority="8">
      <formula>INDIRECT("b"&amp;ROW()-2)&lt;&gt;""</formula>
    </cfRule>
  </conditionalFormatting>
  <conditionalFormatting sqref="L35">
    <cfRule type="expression" dxfId="4" priority="7">
      <formula>(_xlfn.SHEETS()-COUNTIF(A$7:A34,1))&gt;2</formula>
    </cfRule>
  </conditionalFormatting>
  <conditionalFormatting sqref="L193">
    <cfRule type="expression" dxfId="3" priority="5">
      <formula>(_xlfn.SHEETS()-COUNTIF(A$7:A192,1))&gt;2</formula>
    </cfRule>
  </conditionalFormatting>
  <conditionalFormatting sqref="L168:N168">
    <cfRule type="expression" dxfId="2" priority="4">
      <formula>INDIRECT("b"&amp;ROW()-2)&lt;&gt;""</formula>
    </cfRule>
  </conditionalFormatting>
  <conditionalFormatting sqref="L191:N191">
    <cfRule type="expression" dxfId="1" priority="3">
      <formula>INDIRECT("b"&amp;ROW()-2)&lt;&gt;""</formula>
    </cfRule>
  </conditionalFormatting>
  <conditionalFormatting sqref="K32">
    <cfRule type="expression" priority="2">
      <formula>INDIRECT("b"&amp;ROW()-1)&lt;&gt;""</formula>
    </cfRule>
  </conditionalFormatting>
  <conditionalFormatting sqref="L33:N33">
    <cfRule type="expression" dxfId="0" priority="1">
      <formula>INDIRECT("b"&amp;ROW()-2)&lt;&gt;""</formula>
    </cfRule>
  </conditionalFormatting>
  <dataValidations count="1">
    <dataValidation type="whole" allowBlank="1" showInputMessage="1" showErrorMessage="1" error="在“设备报价表”中更改" sqref="M2">
      <formula1>1</formula1>
      <formula2>1</formula2>
    </dataValidation>
  </dataValidations>
  <hyperlinks>
    <hyperlink ref="A207" r:id="rId1" display="http://www.chtianmei.com/"/>
    <hyperlink ref="A49" r:id="rId2"/>
  </hyperlinks>
  <pageMargins left="0.39305555555555599" right="0.39305555555555599" top="0.74791666666666701" bottom="0.74791666666666701" header="0.31388888888888899" footer="0.31388888888888899"/>
  <pageSetup paperSize="9"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3"/>
  <dimension ref="A1:W323"/>
  <sheetViews>
    <sheetView workbookViewId="0">
      <selection activeCell="H2" sqref="H2:J2"/>
    </sheetView>
  </sheetViews>
  <sheetFormatPr defaultColWidth="9" defaultRowHeight="12" x14ac:dyDescent="0.15"/>
  <cols>
    <col min="1" max="1" width="4.125" style="4" customWidth="1"/>
    <col min="2" max="2" width="17.625" style="4" customWidth="1"/>
    <col min="3" max="3" width="18.625" style="4" customWidth="1"/>
    <col min="4" max="4" width="5.625" style="4" customWidth="1"/>
    <col min="5" max="5" width="15.625" style="4" customWidth="1"/>
    <col min="6" max="6" width="4.625" style="4" customWidth="1"/>
    <col min="7" max="7" width="5.125" style="4" customWidth="1"/>
    <col min="8" max="9" width="10.625" style="4" customWidth="1"/>
    <col min="10" max="10" width="19.625" style="4" customWidth="1"/>
    <col min="11" max="11" width="9" style="5"/>
    <col min="12" max="16384" width="9" style="4"/>
  </cols>
  <sheetData>
    <row r="1" spans="1:19" s="309" customFormat="1" ht="71.25" customHeight="1" x14ac:dyDescent="0.2">
      <c r="A1" s="466" t="s">
        <v>3252</v>
      </c>
      <c r="B1" s="466"/>
      <c r="C1" s="466"/>
      <c r="D1" s="466"/>
      <c r="E1" s="466"/>
      <c r="F1" s="466"/>
      <c r="G1" s="466"/>
      <c r="H1" s="466"/>
      <c r="I1" s="466"/>
      <c r="J1" s="466"/>
      <c r="K1" s="369"/>
      <c r="L1" s="369"/>
      <c r="M1" s="369"/>
      <c r="N1" s="369"/>
      <c r="O1" s="369"/>
      <c r="P1" s="369"/>
      <c r="Q1" s="369"/>
      <c r="R1" s="369"/>
      <c r="S1" s="369"/>
    </row>
    <row r="2" spans="1:19" s="2" customFormat="1" ht="18" customHeight="1" x14ac:dyDescent="0.2">
      <c r="A2" s="398" t="s">
        <v>2631</v>
      </c>
      <c r="B2" s="398"/>
      <c r="C2" s="398"/>
      <c r="D2" s="6"/>
      <c r="E2" s="338"/>
      <c r="F2" s="396" t="s">
        <v>240</v>
      </c>
      <c r="G2" s="396"/>
      <c r="H2" s="397" t="str">
        <f ca="1">"ENJ"&amp;TEXT(H3,"emmdd")&amp;SUM(G7:G16)&amp;M3&amp;"0001"</f>
        <v>ENJ2018121000001</v>
      </c>
      <c r="I2" s="397"/>
      <c r="J2" s="397"/>
      <c r="K2" s="16"/>
    </row>
    <row r="3" spans="1:19" s="1" customFormat="1" ht="18" customHeight="1" x14ac:dyDescent="0.2">
      <c r="A3" s="398" t="s">
        <v>2630</v>
      </c>
      <c r="B3" s="398"/>
      <c r="C3" s="398"/>
      <c r="D3" s="7"/>
      <c r="E3" s="7"/>
      <c r="F3" s="396" t="s">
        <v>242</v>
      </c>
      <c r="G3" s="396"/>
      <c r="H3" s="402">
        <v>43444</v>
      </c>
      <c r="I3" s="402"/>
      <c r="J3" s="402"/>
      <c r="K3" s="22" t="s">
        <v>248</v>
      </c>
    </row>
    <row r="4" spans="1:19" s="1" customFormat="1" ht="18" customHeight="1" x14ac:dyDescent="0.2">
      <c r="A4" s="398" t="s">
        <v>2627</v>
      </c>
      <c r="B4" s="398"/>
      <c r="C4" s="398"/>
      <c r="D4" s="7"/>
      <c r="E4" s="7"/>
      <c r="F4" s="403" t="s">
        <v>3232</v>
      </c>
      <c r="G4" s="403"/>
      <c r="H4" s="404" t="s">
        <v>243</v>
      </c>
      <c r="I4" s="404"/>
      <c r="J4" s="404"/>
      <c r="K4" s="17"/>
      <c r="L4" s="469">
        <f ca="1">TODAY()</f>
        <v>43472</v>
      </c>
      <c r="M4" s="469"/>
      <c r="N4" s="469"/>
    </row>
    <row r="5" spans="1:19" s="1" customFormat="1" ht="18" customHeight="1" x14ac:dyDescent="0.2">
      <c r="A5" s="398" t="s">
        <v>2628</v>
      </c>
      <c r="B5" s="398"/>
      <c r="C5" s="398"/>
      <c r="D5" s="7"/>
      <c r="E5" s="7"/>
      <c r="F5" s="403"/>
      <c r="G5" s="403"/>
      <c r="H5" s="404"/>
      <c r="I5" s="404"/>
      <c r="J5" s="404"/>
      <c r="K5" s="17"/>
    </row>
    <row r="6" spans="1:19" ht="18" customHeight="1" x14ac:dyDescent="0.15">
      <c r="A6" s="470" t="s">
        <v>2629</v>
      </c>
      <c r="B6" s="470"/>
      <c r="C6" s="470"/>
      <c r="D6" s="470"/>
      <c r="E6" s="470"/>
      <c r="F6" s="470"/>
      <c r="G6" s="470"/>
      <c r="H6" s="470"/>
      <c r="I6" s="470"/>
      <c r="J6" s="470"/>
    </row>
    <row r="7" spans="1:19" s="3" customFormat="1" ht="18" customHeight="1" x14ac:dyDescent="0.2">
      <c r="A7" s="379" t="s">
        <v>8</v>
      </c>
      <c r="B7" s="376" t="s">
        <v>9</v>
      </c>
      <c r="C7" s="376" t="s">
        <v>10</v>
      </c>
      <c r="D7" s="376" t="s">
        <v>11</v>
      </c>
      <c r="E7" s="376" t="s">
        <v>12</v>
      </c>
      <c r="F7" s="376" t="s">
        <v>13</v>
      </c>
      <c r="G7" s="376" t="s">
        <v>14</v>
      </c>
      <c r="H7" s="378" t="s">
        <v>77</v>
      </c>
      <c r="I7" s="378" t="s">
        <v>78</v>
      </c>
      <c r="J7" s="376" t="s">
        <v>17</v>
      </c>
      <c r="K7" s="18"/>
    </row>
    <row r="8" spans="1:19" s="1" customFormat="1" ht="24" customHeight="1" x14ac:dyDescent="0.2">
      <c r="A8" s="471" t="s">
        <v>4</v>
      </c>
      <c r="B8" s="471"/>
      <c r="C8" s="8"/>
      <c r="D8" s="9"/>
      <c r="E8" s="8"/>
      <c r="F8" s="9"/>
      <c r="G8" s="9"/>
      <c r="K8" s="17" t="str">
        <f>IF(ISNUMBER(FIND("配电柜",A8)),LEFT(A8,LEN(A8)-3),A8)</f>
        <v>包1</v>
      </c>
    </row>
    <row r="9" spans="1:19" ht="18" customHeight="1" x14ac:dyDescent="0.15">
      <c r="A9" s="10">
        <f ca="1">COUNTIF(K$8:K9,K9)-1</f>
        <v>1</v>
      </c>
      <c r="B9" s="11" t="str">
        <f ca="1">IFERROR(LOOKUP(0,0/((INDIRECT("'"&amp;K9&amp;"'!P$1:P650")=A9)*(INDIRECT("'"&amp;K9&amp;"'!C1:C650")="美式变电站")),INDIRECT("'"&amp;K9&amp;"'!C1:C650")),"")</f>
        <v/>
      </c>
      <c r="C9" s="11" t="str">
        <f ca="1">IFERROR(LOOKUP(0,0/((INDIRECT("'"&amp;K9&amp;"'!P$1:P650")=A9)*(INDIRECT("'"&amp;K9&amp;"'!C1:C650")="美式变电站")),INDIRECT("'"&amp;K9&amp;"'!D1:D650")),"")</f>
        <v/>
      </c>
      <c r="D9" s="12" t="str">
        <f ca="1">IFERROR(LOOKUP(0,0/((INDIRECT("'"&amp;K9&amp;"'!P$1:P650")=A9)*(INDIRECT("'"&amp;K9&amp;"'!C1:C650")="美式变电站")),INDIRECT("'"&amp;K9&amp;"'!E1:E650")),"")</f>
        <v/>
      </c>
      <c r="E9" s="11" t="str">
        <f ca="1">IFERROR(LOOKUP(0,0/((INDIRECT("'"&amp;K9&amp;"'!P$1:P650")=A9)*(INDIRECT("'"&amp;K9&amp;"'!C1:C650")="美式变电站")),INDIRECT("'"&amp;K9&amp;"'!F1:F650")),"")</f>
        <v/>
      </c>
      <c r="F9" s="13" t="str">
        <f ca="1">IF(B9="","","台")</f>
        <v/>
      </c>
      <c r="G9" s="14" t="str">
        <f ca="1">IFERROR(LOOKUP(0,0/((INDIRECT("'"&amp;K9&amp;"'!P$1:P650")=A9)*(INDIRECT("'"&amp;K9&amp;"'!C1:C650")="美式变电站")),INDIRECT("'"&amp;K9&amp;"'!H1:H650")),"")</f>
        <v/>
      </c>
      <c r="H9" s="15" t="str">
        <f ca="1">IFERROR(LOOKUP(0,0/((INDIRECT("'"&amp;K9&amp;"'!P$1:P650")=A9)*(INDIRECT("'"&amp;K9&amp;"'!C1:C650")="美式变电站")),INDIRECT("'"&amp;K9&amp;"'!I1:I650")),"")</f>
        <v/>
      </c>
      <c r="I9" s="19" t="str">
        <f ca="1">IFERROR(G9*H9,"")</f>
        <v/>
      </c>
      <c r="J9" s="20" t="str">
        <f ca="1">IFERROR(LOOKUP(0,0/((INDIRECT("'"&amp;K9&amp;"'!P$1:P650")=A9)*(INDIRECT("'"&amp;K9&amp;"'!C1:C650")="美式变电站")),INDIRECT("'"&amp;K9&amp;"'!K1:K650")),"")</f>
        <v/>
      </c>
      <c r="K9" s="17" t="str">
        <f t="shared" ref="K9:K14" ca="1" si="0">INDIRECT("k"&amp;ROW()-1)</f>
        <v>包1</v>
      </c>
    </row>
    <row r="10" spans="1:19" ht="18" customHeight="1" x14ac:dyDescent="0.15">
      <c r="A10" s="10">
        <f ca="1">COUNTIF(K$8:K10,K10)-1</f>
        <v>2</v>
      </c>
      <c r="B10" s="11" t="str">
        <f ca="1">IFERROR(LOOKUP(0,0/((INDIRECT("'"&amp;K10&amp;"'!P$1:P650")=A10)*(INDIRECT("'"&amp;K10&amp;"'!C1:C650")="美式变电站")),INDIRECT("'"&amp;K10&amp;"'!C1:C650")),"")</f>
        <v/>
      </c>
      <c r="C10" s="11" t="str">
        <f ca="1">IFERROR(LOOKUP(0,0/((INDIRECT("'"&amp;K10&amp;"'!P$1:P650")=A10)*(INDIRECT("'"&amp;K10&amp;"'!C1:C650")="美式变电站")),INDIRECT("'"&amp;K10&amp;"'!D1:D650")),"")</f>
        <v/>
      </c>
      <c r="D10" s="12" t="str">
        <f ca="1">IFERROR(LOOKUP(0,0/((INDIRECT("'"&amp;K10&amp;"'!P$1:P650")=A10)*(INDIRECT("'"&amp;K10&amp;"'!C1:C650")="美式变电站")),INDIRECT("'"&amp;K10&amp;"'!E1:E650")),"")</f>
        <v/>
      </c>
      <c r="E10" s="11" t="str">
        <f ca="1">IFERROR(LOOKUP(0,0/((INDIRECT("'"&amp;K10&amp;"'!P$1:P650")=A10)*(INDIRECT("'"&amp;K10&amp;"'!C1:C650")="美式变电站")),INDIRECT("'"&amp;K10&amp;"'!F1:F650")),"")</f>
        <v/>
      </c>
      <c r="F10" s="13" t="str">
        <f ca="1">IF(B10="","","台")</f>
        <v/>
      </c>
      <c r="G10" s="14" t="str">
        <f ca="1">IFERROR(LOOKUP(0,0/((INDIRECT("'"&amp;K10&amp;"'!P$1:P650")=A10)*(INDIRECT("'"&amp;K10&amp;"'!C1:C650")="美式变电站")),INDIRECT("'"&amp;K10&amp;"'!H1:H650")),"")</f>
        <v/>
      </c>
      <c r="H10" s="15" t="str">
        <f ca="1">IFERROR(LOOKUP(0,0/((INDIRECT("'"&amp;K10&amp;"'!P$1:P650")=A10)*(INDIRECT("'"&amp;K10&amp;"'!C1:C650")="美式变电站")),INDIRECT("'"&amp;K10&amp;"'!I1:I650")),"")</f>
        <v/>
      </c>
      <c r="I10" s="19" t="str">
        <f ca="1">IFERROR(G10*H10,"")</f>
        <v/>
      </c>
      <c r="J10" s="20" t="str">
        <f ca="1">IFERROR(LOOKUP(0,0/((INDIRECT("'"&amp;K10&amp;"'!P$1:P650")=A10)*(INDIRECT("'"&amp;K10&amp;"'!C1:C650")="美式变电站")),INDIRECT("'"&amp;K10&amp;"'!K1:K650")),"")</f>
        <v/>
      </c>
      <c r="K10" s="17" t="str">
        <f t="shared" ca="1" si="0"/>
        <v>包1</v>
      </c>
    </row>
    <row r="11" spans="1:19" ht="18" customHeight="1" x14ac:dyDescent="0.15">
      <c r="A11" s="10">
        <f ca="1">COUNTIF(K$8:K11,K11)-1</f>
        <v>3</v>
      </c>
      <c r="B11" s="11" t="str">
        <f ca="1">IFERROR(LOOKUP(0,0/((INDIRECT("'"&amp;K11&amp;"'!P$1:P650")=A11)*(INDIRECT("'"&amp;K11&amp;"'!C1:C650")="美式变电站")),INDIRECT("'"&amp;K11&amp;"'!C1:C650")),"")</f>
        <v/>
      </c>
      <c r="C11" s="11" t="str">
        <f ca="1">IFERROR(LOOKUP(0,0/((INDIRECT("'"&amp;K11&amp;"'!P$1:P650")=A11)*(INDIRECT("'"&amp;K11&amp;"'!C1:C650")="美式变电站")),INDIRECT("'"&amp;K11&amp;"'!D1:D650")),"")</f>
        <v/>
      </c>
      <c r="D11" s="12" t="str">
        <f ca="1">IFERROR(LOOKUP(0,0/((INDIRECT("'"&amp;K11&amp;"'!P$1:P650")=A11)*(INDIRECT("'"&amp;K11&amp;"'!C1:C650")="美式变电站")),INDIRECT("'"&amp;K11&amp;"'!E1:E650")),"")</f>
        <v/>
      </c>
      <c r="E11" s="11" t="str">
        <f ca="1">IFERROR(LOOKUP(0,0/((INDIRECT("'"&amp;K11&amp;"'!P$1:P650")=A11)*(INDIRECT("'"&amp;K11&amp;"'!C1:C650")="美式变电站")),INDIRECT("'"&amp;K11&amp;"'!F1:F650")),"")</f>
        <v/>
      </c>
      <c r="F11" s="13" t="str">
        <f ca="1">IF(B11="","","台")</f>
        <v/>
      </c>
      <c r="G11" s="14" t="str">
        <f ca="1">IFERROR(LOOKUP(0,0/((INDIRECT("'"&amp;K11&amp;"'!P$1:P650")=A11)*(INDIRECT("'"&amp;K11&amp;"'!C1:C650")="美式变电站")),INDIRECT("'"&amp;K11&amp;"'!H1:H650")),"")</f>
        <v/>
      </c>
      <c r="H11" s="15" t="str">
        <f ca="1">IFERROR(LOOKUP(0,0/((INDIRECT("'"&amp;K11&amp;"'!P$1:P650")=A11)*(INDIRECT("'"&amp;K11&amp;"'!C1:C650")="美式变电站")),INDIRECT("'"&amp;K11&amp;"'!I1:I650")),"")</f>
        <v/>
      </c>
      <c r="I11" s="19" t="str">
        <f ca="1">IFERROR(G11*H11,"")</f>
        <v/>
      </c>
      <c r="J11" s="20" t="str">
        <f ca="1">IFERROR(LOOKUP(0,0/((INDIRECT("'"&amp;K11&amp;"'!P$1:P650")=A11)*(INDIRECT("'"&amp;K11&amp;"'!C1:C650")="美式变电站")),INDIRECT("'"&amp;K11&amp;"'!K1:K650")),"")</f>
        <v/>
      </c>
      <c r="K11" s="17" t="str">
        <f t="shared" ca="1" si="0"/>
        <v>包1</v>
      </c>
    </row>
    <row r="12" spans="1:19" ht="18" customHeight="1" x14ac:dyDescent="0.15">
      <c r="A12" s="10">
        <f ca="1">COUNTIF(K$8:K12,K12)-1</f>
        <v>4</v>
      </c>
      <c r="B12" s="11" t="str">
        <f ca="1">IFERROR(LOOKUP(0,0/((INDIRECT("'"&amp;K12&amp;"'!P$1:P650")=A12)*(INDIRECT("'"&amp;K12&amp;"'!C1:C650")="美式变电站")),INDIRECT("'"&amp;K12&amp;"'!C1:C650")),"")</f>
        <v/>
      </c>
      <c r="C12" s="11" t="str">
        <f ca="1">IFERROR(LOOKUP(0,0/((INDIRECT("'"&amp;K12&amp;"'!P$1:P650")=A12)*(INDIRECT("'"&amp;K12&amp;"'!C1:C650")="美式变电站")),INDIRECT("'"&amp;K12&amp;"'!D1:D650")),"")</f>
        <v/>
      </c>
      <c r="D12" s="12" t="str">
        <f ca="1">IFERROR(LOOKUP(0,0/((INDIRECT("'"&amp;K12&amp;"'!P$1:P650")=A12)*(INDIRECT("'"&amp;K12&amp;"'!C1:C650")="美式变电站")),INDIRECT("'"&amp;K12&amp;"'!E1:E650")),"")</f>
        <v/>
      </c>
      <c r="E12" s="11" t="str">
        <f ca="1">IFERROR(LOOKUP(0,0/((INDIRECT("'"&amp;K12&amp;"'!P$1:P650")=A12)*(INDIRECT("'"&amp;K12&amp;"'!C1:C650")="美式变电站")),INDIRECT("'"&amp;K12&amp;"'!F1:F650")),"")</f>
        <v/>
      </c>
      <c r="F12" s="13" t="str">
        <f ca="1">IF(B12="","","台")</f>
        <v/>
      </c>
      <c r="G12" s="14" t="str">
        <f ca="1">IFERROR(LOOKUP(0,0/((INDIRECT("'"&amp;K12&amp;"'!P$1:P650")=A12)*(INDIRECT("'"&amp;K12&amp;"'!C1:C650")="美式变电站")),INDIRECT("'"&amp;K12&amp;"'!H1:H650")),"")</f>
        <v/>
      </c>
      <c r="H12" s="15" t="str">
        <f ca="1">IFERROR(LOOKUP(0,0/((INDIRECT("'"&amp;K12&amp;"'!P$1:P650")=A12)*(INDIRECT("'"&amp;K12&amp;"'!C1:C650")="美式变电站")),INDIRECT("'"&amp;K12&amp;"'!I1:I650")),"")</f>
        <v/>
      </c>
      <c r="I12" s="19" t="str">
        <f ca="1">IFERROR(G12*H12,"")</f>
        <v/>
      </c>
      <c r="J12" s="20" t="str">
        <f ca="1">IFERROR(LOOKUP(0,0/((INDIRECT("'"&amp;K12&amp;"'!P$1:P650")=A12)*(INDIRECT("'"&amp;K12&amp;"'!C1:C650")="美式变电站")),INDIRECT("'"&amp;K12&amp;"'!K1:K650")),"")</f>
        <v/>
      </c>
      <c r="K12" s="17" t="str">
        <f t="shared" ca="1" si="0"/>
        <v>包1</v>
      </c>
    </row>
    <row r="13" spans="1:19" ht="18" customHeight="1" x14ac:dyDescent="0.15">
      <c r="A13" s="472"/>
      <c r="B13" s="473"/>
      <c r="C13" s="473"/>
      <c r="D13" s="473"/>
      <c r="E13" s="473"/>
      <c r="F13" s="473"/>
      <c r="G13" s="473"/>
      <c r="H13" s="473"/>
      <c r="I13" s="473"/>
      <c r="J13" s="474"/>
      <c r="K13" s="17" t="str">
        <f t="shared" ca="1" si="0"/>
        <v>包1</v>
      </c>
    </row>
    <row r="14" spans="1:19" ht="21" customHeight="1" x14ac:dyDescent="0.15">
      <c r="A14" s="475" t="str">
        <f ca="1">K14&amp;"合计："</f>
        <v>包1合计：</v>
      </c>
      <c r="B14" s="476"/>
      <c r="C14" s="476"/>
      <c r="D14" s="476"/>
      <c r="E14" s="477"/>
      <c r="F14" s="478" t="str">
        <f ca="1">SUM(G8:G13)&amp;"台"</f>
        <v>0台</v>
      </c>
      <c r="G14" s="479"/>
      <c r="H14" s="465">
        <f ca="1">SUM(I8:I13)</f>
        <v>0</v>
      </c>
      <c r="I14" s="465"/>
      <c r="J14" s="465"/>
      <c r="K14" s="17" t="str">
        <f t="shared" ca="1" si="0"/>
        <v>包1</v>
      </c>
    </row>
    <row r="15" spans="1:19" ht="18" customHeight="1" x14ac:dyDescent="0.15">
      <c r="A15" s="480"/>
      <c r="B15" s="481"/>
      <c r="C15" s="481"/>
      <c r="D15" s="481"/>
      <c r="E15" s="481"/>
      <c r="F15" s="481"/>
      <c r="G15" s="481"/>
      <c r="H15" s="481"/>
      <c r="I15" s="481"/>
      <c r="J15" s="482"/>
      <c r="K15" s="17"/>
    </row>
    <row r="16" spans="1:19" ht="18" customHeight="1" x14ac:dyDescent="0.15">
      <c r="A16" s="460" t="s">
        <v>244</v>
      </c>
      <c r="B16" s="460"/>
      <c r="C16" s="460"/>
      <c r="D16" s="460"/>
      <c r="E16" s="464" t="str">
        <f ca="1">SUM(G7:G15)&amp;"台/套"</f>
        <v>0台/套</v>
      </c>
      <c r="F16" s="464"/>
      <c r="G16" s="464"/>
      <c r="H16" s="465">
        <f ca="1">SUM(I7:I15)</f>
        <v>0</v>
      </c>
      <c r="I16" s="465"/>
      <c r="J16" s="465"/>
      <c r="K16" s="17"/>
    </row>
    <row r="17" spans="1:23" ht="18" customHeight="1" x14ac:dyDescent="0.15">
      <c r="A17" s="460" t="s">
        <v>245</v>
      </c>
      <c r="B17" s="460"/>
      <c r="C17" s="460"/>
      <c r="D17" s="460"/>
      <c r="E17" s="461" t="str">
        <f ca="1">SUBSTITUTE(SUBSTITUTE(IF(H16*10000&gt;-0.5%,,"负")&amp;TEXT(INT(FIXED(ABS(H16*10000))),"[dbnum2]G/通用格式元;;")&amp;TEXT(RIGHT(FIXED(H16*10000),2),"[dbnum2]0角0分;;"&amp;IF(ABS(H16*10000)&gt;1%,"整",)),"零角",IF(ABS(H16*10000)&lt;1,,"零")),"零分","整")</f>
        <v/>
      </c>
      <c r="F17" s="461"/>
      <c r="G17" s="461"/>
      <c r="H17" s="461"/>
      <c r="I17" s="461"/>
      <c r="J17" s="461"/>
      <c r="K17" s="17"/>
    </row>
    <row r="18" spans="1:23" s="2" customFormat="1" ht="16.5" customHeight="1" x14ac:dyDescent="0.15">
      <c r="A18" s="462" t="s">
        <v>246</v>
      </c>
      <c r="B18" s="463"/>
      <c r="C18" s="463"/>
      <c r="D18" s="463"/>
      <c r="E18" s="463"/>
      <c r="F18" s="463"/>
      <c r="G18" s="463"/>
      <c r="H18" s="463"/>
      <c r="I18" s="463"/>
      <c r="J18" s="463"/>
      <c r="K18" s="21"/>
      <c r="L18" s="4"/>
      <c r="M18" s="4"/>
      <c r="N18" s="4"/>
      <c r="O18" s="4"/>
    </row>
    <row r="19" spans="1:23" s="2" customFormat="1" ht="16.5" customHeight="1" x14ac:dyDescent="0.15">
      <c r="A19" s="462"/>
      <c r="B19" s="463"/>
      <c r="C19" s="463"/>
      <c r="D19" s="463"/>
      <c r="E19" s="463"/>
      <c r="F19" s="463"/>
      <c r="G19" s="463"/>
      <c r="H19" s="463"/>
      <c r="I19" s="463"/>
      <c r="J19" s="463"/>
      <c r="K19" s="21"/>
      <c r="L19" s="4"/>
      <c r="M19" s="4"/>
      <c r="N19" s="4"/>
      <c r="O19" s="4"/>
    </row>
    <row r="20" spans="1:23" s="2" customFormat="1" ht="16.5" customHeight="1" x14ac:dyDescent="0.15">
      <c r="A20" s="462"/>
      <c r="B20" s="463"/>
      <c r="C20" s="463"/>
      <c r="D20" s="463"/>
      <c r="E20" s="463"/>
      <c r="F20" s="463"/>
      <c r="G20" s="463"/>
      <c r="H20" s="463"/>
      <c r="I20" s="463"/>
      <c r="J20" s="463"/>
      <c r="K20" s="21"/>
      <c r="L20" s="4"/>
      <c r="M20" s="4"/>
      <c r="N20" s="4"/>
      <c r="O20" s="4"/>
    </row>
    <row r="21" spans="1:23" s="2" customFormat="1" ht="16.5" customHeight="1" x14ac:dyDescent="0.15">
      <c r="A21" s="462"/>
      <c r="B21" s="463"/>
      <c r="C21" s="463"/>
      <c r="D21" s="463"/>
      <c r="E21" s="463"/>
      <c r="F21" s="463"/>
      <c r="G21" s="463"/>
      <c r="H21" s="463"/>
      <c r="I21" s="463"/>
      <c r="J21" s="463"/>
      <c r="K21" s="21"/>
      <c r="L21" s="4"/>
      <c r="M21" s="4"/>
      <c r="N21" s="4"/>
      <c r="O21" s="4"/>
    </row>
    <row r="22" spans="1:23" s="2" customFormat="1" ht="16.5" customHeight="1" x14ac:dyDescent="0.15">
      <c r="A22" s="462"/>
      <c r="B22" s="463"/>
      <c r="C22" s="463"/>
      <c r="D22" s="463"/>
      <c r="E22" s="463"/>
      <c r="F22" s="463"/>
      <c r="G22" s="463"/>
      <c r="H22" s="463"/>
      <c r="I22" s="463"/>
      <c r="J22" s="463"/>
      <c r="K22" s="21"/>
      <c r="L22" s="4"/>
      <c r="M22" s="4"/>
      <c r="N22" s="4"/>
      <c r="O22" s="4"/>
    </row>
    <row r="23" spans="1:23" s="214" customFormat="1" ht="18.95" customHeight="1" x14ac:dyDescent="0.2">
      <c r="A23" s="420" t="s">
        <v>247</v>
      </c>
      <c r="B23" s="420"/>
      <c r="C23" s="420"/>
      <c r="D23" s="421" t="s">
        <v>3247</v>
      </c>
      <c r="E23" s="421"/>
      <c r="F23" s="421"/>
      <c r="G23" s="421"/>
      <c r="H23" s="421"/>
      <c r="I23" s="421"/>
      <c r="J23" s="332"/>
      <c r="K23" s="333"/>
    </row>
    <row r="24" spans="1:23" s="214" customFormat="1" ht="18.95" customHeight="1" x14ac:dyDescent="0.2">
      <c r="A24" s="419" t="s">
        <v>3254</v>
      </c>
      <c r="B24" s="419"/>
      <c r="C24" s="419"/>
      <c r="D24" s="419" t="s">
        <v>3255</v>
      </c>
      <c r="E24" s="419"/>
      <c r="F24" s="419"/>
      <c r="G24" s="419" t="s">
        <v>3256</v>
      </c>
      <c r="H24" s="419"/>
      <c r="I24" s="419"/>
      <c r="J24" s="332"/>
      <c r="K24" s="333"/>
    </row>
    <row r="25" spans="1:23" s="214" customFormat="1" ht="18.95" customHeight="1" x14ac:dyDescent="0.2">
      <c r="A25" s="423" t="s">
        <v>3257</v>
      </c>
      <c r="B25" s="423"/>
      <c r="C25" s="423"/>
      <c r="D25" s="423" t="s">
        <v>3258</v>
      </c>
      <c r="E25" s="423"/>
      <c r="F25" s="423"/>
      <c r="G25" s="422" t="s">
        <v>3259</v>
      </c>
      <c r="H25" s="422"/>
      <c r="I25" s="422"/>
      <c r="J25" s="332"/>
      <c r="K25" s="333"/>
    </row>
    <row r="26" spans="1:23" s="214" customFormat="1" ht="21.75" customHeight="1" x14ac:dyDescent="0.2">
      <c r="A26" s="417" t="s">
        <v>3260</v>
      </c>
      <c r="B26" s="418"/>
      <c r="C26" s="418"/>
      <c r="D26" s="418"/>
      <c r="E26" s="418"/>
      <c r="F26" s="418"/>
      <c r="G26" s="418"/>
      <c r="H26" s="418"/>
      <c r="I26" s="418"/>
      <c r="J26" s="332"/>
      <c r="K26" s="333"/>
    </row>
    <row r="27" spans="1:23" ht="18" customHeight="1" x14ac:dyDescent="0.15"/>
    <row r="28" spans="1:23" s="23" customFormat="1" ht="21.95" customHeight="1" x14ac:dyDescent="0.2">
      <c r="A28" s="83"/>
      <c r="B28" s="84"/>
      <c r="C28" s="85"/>
      <c r="D28" s="27"/>
      <c r="E28" s="27"/>
      <c r="F28" s="85"/>
      <c r="G28" s="27"/>
      <c r="H28" s="27"/>
      <c r="I28" s="467" t="s">
        <v>3253</v>
      </c>
      <c r="J28" s="467"/>
      <c r="K28" s="88"/>
      <c r="L28" s="84"/>
      <c r="M28" s="89"/>
      <c r="N28" s="89"/>
      <c r="O28" s="89"/>
      <c r="Q28" s="139"/>
      <c r="V28" s="339"/>
      <c r="W28" s="340"/>
    </row>
    <row r="29" spans="1:23" s="23" customFormat="1" ht="21.95" customHeight="1" x14ac:dyDescent="0.2">
      <c r="A29" s="83"/>
      <c r="B29" s="84"/>
      <c r="C29" s="85"/>
      <c r="D29" s="27"/>
      <c r="E29" s="27"/>
      <c r="F29" s="85"/>
      <c r="G29" s="27"/>
      <c r="H29" s="27"/>
      <c r="I29" s="467" t="s">
        <v>2626</v>
      </c>
      <c r="J29" s="467"/>
      <c r="K29" s="88"/>
      <c r="L29" s="84"/>
      <c r="M29" s="89"/>
      <c r="N29" s="89"/>
      <c r="O29" s="89"/>
      <c r="Q29" s="139"/>
      <c r="V29" s="339"/>
      <c r="W29" s="340"/>
    </row>
    <row r="30" spans="1:23" s="23" customFormat="1" ht="21.95" customHeight="1" x14ac:dyDescent="0.2">
      <c r="A30" s="83"/>
      <c r="B30" s="84"/>
      <c r="C30" s="85"/>
      <c r="D30" s="27"/>
      <c r="E30" s="27"/>
      <c r="F30" s="85"/>
      <c r="G30" s="27"/>
      <c r="H30" s="27"/>
      <c r="I30" s="468">
        <f>H3</f>
        <v>43444</v>
      </c>
      <c r="J30" s="468"/>
      <c r="K30" s="88"/>
      <c r="L30" s="84"/>
      <c r="M30" s="89"/>
      <c r="N30" s="89"/>
      <c r="O30" s="89"/>
      <c r="Q30" s="139"/>
      <c r="V30" s="339"/>
      <c r="W30" s="340"/>
    </row>
    <row r="31" spans="1:23" ht="18" customHeight="1" x14ac:dyDescent="0.15"/>
    <row r="32" spans="1:23" ht="18" customHeight="1" x14ac:dyDescent="0.15"/>
    <row r="33" spans="12:15" ht="18" customHeight="1" x14ac:dyDescent="0.15"/>
    <row r="34" spans="12:15" ht="18" customHeight="1" x14ac:dyDescent="0.15"/>
    <row r="35" spans="12:15" ht="18" customHeight="1" x14ac:dyDescent="0.15"/>
    <row r="36" spans="12:15" x14ac:dyDescent="0.15">
      <c r="L36" s="1"/>
      <c r="M36" s="1"/>
      <c r="N36" s="1"/>
      <c r="O36" s="1"/>
    </row>
    <row r="51" spans="12:15" x14ac:dyDescent="0.15">
      <c r="L51" s="1"/>
      <c r="M51" s="1"/>
      <c r="N51" s="1"/>
      <c r="O51" s="1"/>
    </row>
    <row r="66" spans="12:15" x14ac:dyDescent="0.15">
      <c r="L66" s="1"/>
      <c r="M66" s="1"/>
      <c r="N66" s="1"/>
      <c r="O66" s="1"/>
    </row>
    <row r="121" spans="12:15" x14ac:dyDescent="0.15">
      <c r="L121" s="1"/>
      <c r="M121" s="1"/>
      <c r="N121" s="1"/>
      <c r="O121" s="1"/>
    </row>
    <row r="176" spans="12:15" x14ac:dyDescent="0.15">
      <c r="L176" s="1"/>
      <c r="M176" s="1"/>
      <c r="N176" s="1"/>
      <c r="O176" s="1"/>
    </row>
    <row r="231" spans="12:15" x14ac:dyDescent="0.15">
      <c r="L231" s="1"/>
      <c r="M231" s="1"/>
      <c r="N231" s="1"/>
      <c r="O231" s="1"/>
    </row>
    <row r="249" spans="12:15" x14ac:dyDescent="0.15">
      <c r="L249" s="1"/>
      <c r="M249" s="1"/>
      <c r="N249" s="1"/>
      <c r="O249" s="1"/>
    </row>
    <row r="270" spans="12:15" x14ac:dyDescent="0.15">
      <c r="L270" s="1"/>
      <c r="M270" s="1"/>
      <c r="N270" s="1"/>
      <c r="O270" s="1"/>
    </row>
    <row r="291" spans="12:15" x14ac:dyDescent="0.15">
      <c r="L291" s="1"/>
      <c r="M291" s="1"/>
      <c r="N291" s="1"/>
      <c r="O291" s="1"/>
    </row>
    <row r="315" spans="12:15" x14ac:dyDescent="0.15">
      <c r="L315" s="2"/>
      <c r="M315" s="2"/>
      <c r="N315" s="2"/>
      <c r="O315" s="2"/>
    </row>
    <row r="316" spans="12:15" x14ac:dyDescent="0.15">
      <c r="L316" s="2"/>
      <c r="M316" s="2"/>
      <c r="N316" s="2"/>
      <c r="O316" s="2"/>
    </row>
    <row r="317" spans="12:15" x14ac:dyDescent="0.15">
      <c r="L317" s="2"/>
      <c r="M317" s="2"/>
      <c r="N317" s="2"/>
      <c r="O317" s="2"/>
    </row>
    <row r="318" spans="12:15" x14ac:dyDescent="0.15">
      <c r="L318" s="2"/>
      <c r="M318" s="2"/>
      <c r="N318" s="2"/>
      <c r="O318" s="2"/>
    </row>
    <row r="319" spans="12:15" x14ac:dyDescent="0.15">
      <c r="L319" s="2"/>
      <c r="M319" s="2"/>
      <c r="N319" s="2"/>
      <c r="O319" s="2"/>
    </row>
    <row r="320" spans="12:15" x14ac:dyDescent="0.15">
      <c r="L320" s="2"/>
      <c r="M320" s="2"/>
      <c r="N320" s="2"/>
      <c r="O320" s="2"/>
    </row>
    <row r="321" spans="12:15" x14ac:dyDescent="0.15">
      <c r="L321" s="2"/>
      <c r="M321" s="2"/>
      <c r="N321" s="2"/>
      <c r="O321" s="2"/>
    </row>
    <row r="322" spans="12:15" x14ac:dyDescent="0.15">
      <c r="L322" s="2"/>
      <c r="M322" s="2"/>
      <c r="N322" s="2"/>
      <c r="O322" s="2"/>
    </row>
    <row r="323" spans="12:15" x14ac:dyDescent="0.15">
      <c r="L323" s="2"/>
      <c r="M323" s="2"/>
      <c r="N323" s="2"/>
      <c r="O323" s="2"/>
    </row>
  </sheetData>
  <mergeCells count="40">
    <mergeCell ref="I28:J28"/>
    <mergeCell ref="I29:J29"/>
    <mergeCell ref="I30:J30"/>
    <mergeCell ref="A26:I26"/>
    <mergeCell ref="L4:N4"/>
    <mergeCell ref="A5:C5"/>
    <mergeCell ref="F5:G5"/>
    <mergeCell ref="H5:J5"/>
    <mergeCell ref="A6:J6"/>
    <mergeCell ref="A8:B8"/>
    <mergeCell ref="A13:J13"/>
    <mergeCell ref="A14:E14"/>
    <mergeCell ref="F14:G14"/>
    <mergeCell ref="H14:J14"/>
    <mergeCell ref="A15:J15"/>
    <mergeCell ref="A16:D16"/>
    <mergeCell ref="A1:J1"/>
    <mergeCell ref="A2:C2"/>
    <mergeCell ref="F2:G2"/>
    <mergeCell ref="H2:J2"/>
    <mergeCell ref="A3:C3"/>
    <mergeCell ref="F3:G3"/>
    <mergeCell ref="H3:J3"/>
    <mergeCell ref="A4:C4"/>
    <mergeCell ref="F4:G4"/>
    <mergeCell ref="H4:J4"/>
    <mergeCell ref="E16:G16"/>
    <mergeCell ref="H16:J16"/>
    <mergeCell ref="A24:C24"/>
    <mergeCell ref="D24:F24"/>
    <mergeCell ref="G24:I24"/>
    <mergeCell ref="A25:C25"/>
    <mergeCell ref="A17:D17"/>
    <mergeCell ref="E17:J17"/>
    <mergeCell ref="A18:A22"/>
    <mergeCell ref="B18:J22"/>
    <mergeCell ref="A23:C23"/>
    <mergeCell ref="D23:I23"/>
    <mergeCell ref="D25:F25"/>
    <mergeCell ref="G25:I25"/>
  </mergeCells>
  <phoneticPr fontId="25" type="noConversion"/>
  <hyperlinks>
    <hyperlink ref="A26" r:id="rId1"/>
  </hyperlinks>
  <pageMargins left="0.69930555555555596" right="0.69930555555555596" top="0.75" bottom="0.75" header="0.3" footer="0.3"/>
  <pageSetup paperSize="9" orientation="portrait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2"/>
  <dimension ref="A1:W330"/>
  <sheetViews>
    <sheetView topLeftCell="A280" workbookViewId="0">
      <selection activeCell="F294" sqref="F294"/>
    </sheetView>
  </sheetViews>
  <sheetFormatPr defaultColWidth="9" defaultRowHeight="12" x14ac:dyDescent="0.15"/>
  <cols>
    <col min="1" max="1" width="4.125" style="4" customWidth="1"/>
    <col min="2" max="2" width="17.625" style="4" customWidth="1"/>
    <col min="3" max="3" width="21.375" style="4" customWidth="1"/>
    <col min="4" max="4" width="5.625" style="4" customWidth="1"/>
    <col min="5" max="5" width="15.625" style="4" customWidth="1"/>
    <col min="6" max="6" width="4.625" style="4" customWidth="1"/>
    <col min="7" max="7" width="5.125" style="4" customWidth="1"/>
    <col min="8" max="9" width="10.625" style="4" customWidth="1"/>
    <col min="10" max="10" width="19.625" style="4" customWidth="1"/>
    <col min="11" max="11" width="9" style="5"/>
    <col min="12" max="16384" width="9" style="4"/>
  </cols>
  <sheetData>
    <row r="1" spans="1:19" s="309" customFormat="1" ht="71.25" customHeight="1" x14ac:dyDescent="0.2">
      <c r="A1" s="466" t="s">
        <v>3252</v>
      </c>
      <c r="B1" s="466"/>
      <c r="C1" s="466"/>
      <c r="D1" s="466"/>
      <c r="E1" s="466"/>
      <c r="F1" s="466"/>
      <c r="G1" s="466"/>
      <c r="H1" s="466"/>
      <c r="I1" s="466"/>
      <c r="J1" s="466"/>
      <c r="K1" s="369"/>
      <c r="L1" s="369"/>
      <c r="M1" s="369"/>
      <c r="N1" s="369"/>
      <c r="O1" s="369"/>
      <c r="P1" s="369"/>
      <c r="Q1" s="369"/>
      <c r="R1" s="369"/>
      <c r="S1" s="369"/>
    </row>
    <row r="2" spans="1:19" s="2" customFormat="1" ht="18" customHeight="1" x14ac:dyDescent="0.2">
      <c r="A2" s="398" t="s">
        <v>2631</v>
      </c>
      <c r="B2" s="398"/>
      <c r="C2" s="398"/>
      <c r="D2" s="6"/>
      <c r="E2" s="372"/>
      <c r="F2" s="396" t="s">
        <v>240</v>
      </c>
      <c r="G2" s="396"/>
      <c r="H2" s="397" t="str">
        <f ca="1">"ENJ"&amp;TEXT(H3,"emmdd")&amp;SUM(G7:G313)&amp;M3&amp;"0001"</f>
        <v>ENJ20181210250001</v>
      </c>
      <c r="I2" s="397"/>
      <c r="J2" s="397"/>
      <c r="K2" s="16"/>
    </row>
    <row r="3" spans="1:19" s="1" customFormat="1" ht="18" customHeight="1" x14ac:dyDescent="0.2">
      <c r="A3" s="398" t="s">
        <v>2630</v>
      </c>
      <c r="B3" s="398"/>
      <c r="C3" s="398"/>
      <c r="D3" s="7"/>
      <c r="E3" s="7"/>
      <c r="F3" s="396" t="s">
        <v>242</v>
      </c>
      <c r="G3" s="396"/>
      <c r="H3" s="402">
        <v>43444</v>
      </c>
      <c r="I3" s="402"/>
      <c r="J3" s="402"/>
      <c r="K3" s="22" t="s">
        <v>248</v>
      </c>
    </row>
    <row r="4" spans="1:19" s="1" customFormat="1" ht="18" customHeight="1" x14ac:dyDescent="0.2">
      <c r="A4" s="398" t="s">
        <v>2627</v>
      </c>
      <c r="B4" s="398"/>
      <c r="C4" s="398"/>
      <c r="D4" s="7"/>
      <c r="E4" s="7"/>
      <c r="F4" s="403" t="s">
        <v>3232</v>
      </c>
      <c r="G4" s="403"/>
      <c r="H4" s="404" t="s">
        <v>243</v>
      </c>
      <c r="I4" s="404"/>
      <c r="J4" s="404"/>
      <c r="K4" s="17"/>
      <c r="L4" s="469">
        <f ca="1">TODAY()</f>
        <v>43472</v>
      </c>
      <c r="M4" s="469"/>
      <c r="N4" s="469"/>
    </row>
    <row r="5" spans="1:19" s="1" customFormat="1" ht="18" customHeight="1" x14ac:dyDescent="0.2">
      <c r="A5" s="398" t="s">
        <v>2628</v>
      </c>
      <c r="B5" s="398"/>
      <c r="C5" s="398"/>
      <c r="D5" s="7"/>
      <c r="E5" s="7"/>
      <c r="F5" s="403"/>
      <c r="G5" s="403"/>
      <c r="H5" s="404"/>
      <c r="I5" s="404"/>
      <c r="J5" s="404"/>
      <c r="K5" s="17"/>
    </row>
    <row r="6" spans="1:19" ht="18" customHeight="1" x14ac:dyDescent="0.15">
      <c r="A6" s="470" t="s">
        <v>2629</v>
      </c>
      <c r="B6" s="470"/>
      <c r="C6" s="470"/>
      <c r="D6" s="470"/>
      <c r="E6" s="470"/>
      <c r="F6" s="470"/>
      <c r="G6" s="470"/>
      <c r="H6" s="470"/>
      <c r="I6" s="470"/>
      <c r="J6" s="470"/>
    </row>
    <row r="7" spans="1:19" s="3" customFormat="1" ht="18" customHeight="1" x14ac:dyDescent="0.2">
      <c r="A7" s="379" t="s">
        <v>8</v>
      </c>
      <c r="B7" s="376" t="s">
        <v>9</v>
      </c>
      <c r="C7" s="376" t="s">
        <v>10</v>
      </c>
      <c r="D7" s="376" t="s">
        <v>11</v>
      </c>
      <c r="E7" s="376" t="s">
        <v>12</v>
      </c>
      <c r="F7" s="376" t="s">
        <v>13</v>
      </c>
      <c r="G7" s="376" t="s">
        <v>14</v>
      </c>
      <c r="H7" s="378" t="s">
        <v>77</v>
      </c>
      <c r="I7" s="378" t="s">
        <v>78</v>
      </c>
      <c r="J7" s="376" t="s">
        <v>17</v>
      </c>
      <c r="K7" s="18"/>
    </row>
    <row r="8" spans="1:19" s="1" customFormat="1" ht="24" customHeight="1" x14ac:dyDescent="0.2">
      <c r="A8" s="471" t="s">
        <v>4</v>
      </c>
      <c r="B8" s="471"/>
      <c r="C8" s="8"/>
      <c r="D8" s="9"/>
      <c r="E8" s="8"/>
      <c r="F8" s="9"/>
      <c r="G8" s="9"/>
      <c r="K8" s="17" t="str">
        <f>IF(ISNUMBER(FIND("配电柜",A8)),LEFT(A8,LEN(A8)-3),A8)</f>
        <v>包1</v>
      </c>
    </row>
    <row r="9" spans="1:19" ht="18" customHeight="1" x14ac:dyDescent="0.15">
      <c r="A9" s="10">
        <f ca="1">COUNTIF(K$8:K9,K9)-1</f>
        <v>1</v>
      </c>
      <c r="B9" s="11" t="str">
        <f t="shared" ref="B9:B33" ca="1" si="0">IFERROR(VLOOKUP(A9,INDIRECT("'"&amp;K9&amp;"'!A:I"),3,FALSE),"")</f>
        <v>高压充气柜</v>
      </c>
      <c r="C9" s="11" t="str">
        <f t="shared" ref="C9:C33" ca="1" si="1">IFERROR(VLOOKUP(A9,INDIRECT("'"&amp;K9&amp;"'!A:I"),4,FALSE),"")</f>
        <v>CFF</v>
      </c>
      <c r="D9" s="12" t="str">
        <f t="shared" ref="D9:D33" ca="1" si="2">IFERROR(VLOOKUP(A9,INDIRECT("'"&amp;K9&amp;"'!A:I"),5,FALSE),"")</f>
        <v>浙江</v>
      </c>
      <c r="E9" s="11" t="str">
        <f t="shared" ref="E9:E33" ca="1" si="3">IF(B9="","",IF(VLOOKUP(A9,INDIRECT("'"&amp;K9&amp;"'!A:I"),6,FALSE)="","",IFERROR(VLOOKUP(A9,INDIRECT("'"&amp;K9&amp;"'!A:I"),6,FALSE),"")))</f>
        <v>精益联合集团有限公司</v>
      </c>
      <c r="F9" s="13" t="str">
        <f t="shared" ref="F9:F33" ca="1" si="4">IFERROR(VLOOKUP(A9,INDIRECT("'"&amp;K9&amp;"'!A:I"),7,FALSE),"")</f>
        <v>台</v>
      </c>
      <c r="G9" s="14">
        <f t="shared" ref="G9:G33" ca="1" si="5">IFERROR(VLOOKUP(A9,INDIRECT("'"&amp;K9&amp;"'!A:I"),8,FALSE),"")</f>
        <v>1</v>
      </c>
      <c r="H9" s="15">
        <f t="shared" ref="H9:H33" ca="1" si="6">IFERROR(VLOOKUP(A9,INDIRECT("'"&amp;K9&amp;"'!A:I"),9,FALSE),"")</f>
        <v>6.1341000000000001</v>
      </c>
      <c r="I9" s="19">
        <f t="shared" ref="I9:I33" ca="1" si="7">IFERROR(G9*H9,"")</f>
        <v>6.1341000000000001</v>
      </c>
      <c r="J9" s="20" t="str">
        <f t="shared" ref="J9:J33" ca="1" si="8">IF(B9="","",IF(VLOOKUP(A9,INDIRECT("'"&amp;K9&amp;"'!A:L"),11,FALSE)="","",IFERROR(VLOOKUP(A9,INDIRECT("'"&amp;K9&amp;"'!A:L"),11,FALSE),"")))</f>
        <v/>
      </c>
      <c r="K9" s="17" t="str">
        <f t="shared" ref="K9:K65" ca="1" si="9">INDIRECT("k"&amp;ROW()-1)</f>
        <v>包1</v>
      </c>
    </row>
    <row r="10" spans="1:19" ht="18" customHeight="1" x14ac:dyDescent="0.15">
      <c r="A10" s="10">
        <f ca="1">COUNTIF(K$8:K10,K10)-1</f>
        <v>2</v>
      </c>
      <c r="B10" s="11" t="str">
        <f t="shared" ca="1" si="0"/>
        <v>变压器</v>
      </c>
      <c r="C10" s="11" t="str">
        <f t="shared" ca="1" si="1"/>
        <v>S13-M-630KVA 全铜</v>
      </c>
      <c r="D10" s="12" t="str">
        <f t="shared" ca="1" si="2"/>
        <v>浙江</v>
      </c>
      <c r="E10" s="11" t="str">
        <f t="shared" ca="1" si="3"/>
        <v>弘乐电气有限公司</v>
      </c>
      <c r="F10" s="13" t="str">
        <f t="shared" ca="1" si="4"/>
        <v>台</v>
      </c>
      <c r="G10" s="14">
        <f t="shared" ca="1" si="5"/>
        <v>1</v>
      </c>
      <c r="H10" s="15">
        <f t="shared" ca="1" si="6"/>
        <v>5.7149999999999999</v>
      </c>
      <c r="I10" s="19">
        <f t="shared" ca="1" si="7"/>
        <v>5.7149999999999999</v>
      </c>
      <c r="J10" s="20" t="str">
        <f t="shared" ca="1" si="8"/>
        <v/>
      </c>
      <c r="K10" s="17" t="str">
        <f t="shared" ca="1" si="9"/>
        <v>包1</v>
      </c>
    </row>
    <row r="11" spans="1:19" ht="18" customHeight="1" x14ac:dyDescent="0.15">
      <c r="A11" s="10">
        <f ca="1">COUNTIF(K$8:K11,K11)-1</f>
        <v>3</v>
      </c>
      <c r="B11" s="11" t="str">
        <f t="shared" ca="1" si="0"/>
        <v>母线</v>
      </c>
      <c r="C11" s="11">
        <f t="shared" ca="1" si="1"/>
        <v>0</v>
      </c>
      <c r="D11" s="12" t="str">
        <f t="shared" ca="1" si="2"/>
        <v>上海</v>
      </c>
      <c r="E11" s="11" t="str">
        <f t="shared" ca="1" si="3"/>
        <v>上海半径电力铜材有限公司</v>
      </c>
      <c r="F11" s="13" t="str">
        <f t="shared" ca="1" si="4"/>
        <v>台</v>
      </c>
      <c r="G11" s="14">
        <f t="shared" ca="1" si="5"/>
        <v>1</v>
      </c>
      <c r="H11" s="15">
        <f t="shared" ca="1" si="6"/>
        <v>0.55599999999999994</v>
      </c>
      <c r="I11" s="19">
        <f t="shared" ca="1" si="7"/>
        <v>0.55599999999999994</v>
      </c>
      <c r="J11" s="20" t="str">
        <f t="shared" ca="1" si="8"/>
        <v/>
      </c>
      <c r="K11" s="17" t="str">
        <f t="shared" ca="1" si="9"/>
        <v>包1</v>
      </c>
    </row>
    <row r="12" spans="1:19" ht="18" customHeight="1" x14ac:dyDescent="0.15">
      <c r="A12" s="10">
        <f ca="1">COUNTIF(K$8:K12,K12)-1</f>
        <v>4</v>
      </c>
      <c r="B12" s="11" t="str">
        <f t="shared" ca="1" si="0"/>
        <v>低压进线柜</v>
      </c>
      <c r="C12" s="11" t="str">
        <f t="shared" ca="1" si="1"/>
        <v>GGD-800*600*2000</v>
      </c>
      <c r="D12" s="12" t="str">
        <f t="shared" ca="1" si="2"/>
        <v>浙江</v>
      </c>
      <c r="E12" s="11" t="str">
        <f t="shared" ca="1" si="3"/>
        <v>精益联合集团有限公司</v>
      </c>
      <c r="F12" s="13" t="str">
        <f t="shared" ca="1" si="4"/>
        <v>台</v>
      </c>
      <c r="G12" s="14">
        <f t="shared" ca="1" si="5"/>
        <v>1</v>
      </c>
      <c r="H12" s="15">
        <f t="shared" ca="1" si="6"/>
        <v>1.5017600000000002</v>
      </c>
      <c r="I12" s="19">
        <f t="shared" ca="1" si="7"/>
        <v>1.5017600000000002</v>
      </c>
      <c r="J12" s="20" t="str">
        <f t="shared" ca="1" si="8"/>
        <v/>
      </c>
      <c r="K12" s="17" t="str">
        <f t="shared" ca="1" si="9"/>
        <v>包1</v>
      </c>
    </row>
    <row r="13" spans="1:19" ht="18" customHeight="1" x14ac:dyDescent="0.15">
      <c r="A13" s="10">
        <f ca="1">COUNTIF(K$8:K13,K13)-1</f>
        <v>5</v>
      </c>
      <c r="B13" s="11" t="str">
        <f t="shared" ca="1" si="0"/>
        <v>发电机进线柜</v>
      </c>
      <c r="C13" s="11" t="str">
        <f t="shared" ca="1" si="1"/>
        <v>GGD-800*600*2000</v>
      </c>
      <c r="D13" s="12" t="str">
        <f t="shared" ca="1" si="2"/>
        <v>浙江</v>
      </c>
      <c r="E13" s="11" t="str">
        <f t="shared" ca="1" si="3"/>
        <v>精益联合集团有限公司</v>
      </c>
      <c r="F13" s="13" t="str">
        <f t="shared" ca="1" si="4"/>
        <v>台</v>
      </c>
      <c r="G13" s="14">
        <f t="shared" ca="1" si="5"/>
        <v>1</v>
      </c>
      <c r="H13" s="15">
        <f t="shared" ca="1" si="6"/>
        <v>1.51386</v>
      </c>
      <c r="I13" s="19">
        <f t="shared" ca="1" si="7"/>
        <v>1.51386</v>
      </c>
      <c r="J13" s="20" t="str">
        <f t="shared" ca="1" si="8"/>
        <v/>
      </c>
      <c r="K13" s="17" t="str">
        <f t="shared" ca="1" si="9"/>
        <v>包1</v>
      </c>
    </row>
    <row r="14" spans="1:19" ht="18" customHeight="1" x14ac:dyDescent="0.15">
      <c r="A14" s="10">
        <f ca="1">COUNTIF(K$8:K14,K14)-1</f>
        <v>6</v>
      </c>
      <c r="B14" s="11" t="str">
        <f t="shared" ref="B14:B23" ca="1" si="10">IFERROR(VLOOKUP(A14,INDIRECT("'"&amp;K14&amp;"'!A:I"),3,FALSE),"")</f>
        <v>低压馈线柜</v>
      </c>
      <c r="C14" s="11" t="str">
        <f t="shared" ref="C14:C23" ca="1" si="11">IFERROR(VLOOKUP(A14,INDIRECT("'"&amp;K14&amp;"'!A:I"),4,FALSE),"")</f>
        <v>GGD-800*600*2000</v>
      </c>
      <c r="D14" s="12" t="str">
        <f t="shared" ref="D14:D23" ca="1" si="12">IFERROR(VLOOKUP(A14,INDIRECT("'"&amp;K14&amp;"'!A:I"),5,FALSE),"")</f>
        <v>浙江</v>
      </c>
      <c r="E14" s="11" t="str">
        <f t="shared" ref="E14:E23" ca="1" si="13">IF(B14="","",IF(VLOOKUP(A14,INDIRECT("'"&amp;K14&amp;"'!A:I"),6,FALSE)="","",IFERROR(VLOOKUP(A14,INDIRECT("'"&amp;K14&amp;"'!A:I"),6,FALSE),"")))</f>
        <v>精益联合集团有限公司</v>
      </c>
      <c r="F14" s="13" t="str">
        <f t="shared" ref="F14:F23" ca="1" si="14">IFERROR(VLOOKUP(A14,INDIRECT("'"&amp;K14&amp;"'!A:I"),7,FALSE),"")</f>
        <v>台</v>
      </c>
      <c r="G14" s="14">
        <f t="shared" ref="G14:G23" ca="1" si="15">IFERROR(VLOOKUP(A14,INDIRECT("'"&amp;K14&amp;"'!A:I"),8,FALSE),"")</f>
        <v>1</v>
      </c>
      <c r="H14" s="15">
        <f t="shared" ref="H14:H23" ca="1" si="16">IFERROR(VLOOKUP(A14,INDIRECT("'"&amp;K14&amp;"'!A:I"),9,FALSE),"")</f>
        <v>1.03424</v>
      </c>
      <c r="I14" s="19">
        <f t="shared" ref="I14:I23" ca="1" si="17">IFERROR(G14*H14,"")</f>
        <v>1.03424</v>
      </c>
      <c r="J14" s="20" t="str">
        <f t="shared" ref="J14:J23" ca="1" si="18">IF(B14="","",IF(VLOOKUP(A14,INDIRECT("'"&amp;K14&amp;"'!A:L"),11,FALSE)="","",IFERROR(VLOOKUP(A14,INDIRECT("'"&amp;K14&amp;"'!A:L"),11,FALSE),"")))</f>
        <v/>
      </c>
      <c r="K14" s="17" t="str">
        <f t="shared" ca="1" si="9"/>
        <v>包1</v>
      </c>
    </row>
    <row r="15" spans="1:19" ht="18" customHeight="1" x14ac:dyDescent="0.15">
      <c r="A15" s="10">
        <f ca="1">COUNTIF(K$8:K15,K15)-1</f>
        <v>7</v>
      </c>
      <c r="B15" s="11" t="str">
        <f t="shared" ca="1" si="10"/>
        <v>低压馈线柜</v>
      </c>
      <c r="C15" s="11" t="str">
        <f t="shared" ca="1" si="11"/>
        <v>GGD-800*600*2000</v>
      </c>
      <c r="D15" s="12" t="str">
        <f t="shared" ca="1" si="12"/>
        <v>浙江</v>
      </c>
      <c r="E15" s="11" t="str">
        <f t="shared" ca="1" si="13"/>
        <v>精益联合集团有限公司</v>
      </c>
      <c r="F15" s="13" t="str">
        <f t="shared" ca="1" si="14"/>
        <v>台</v>
      </c>
      <c r="G15" s="14">
        <f t="shared" ca="1" si="15"/>
        <v>1</v>
      </c>
      <c r="H15" s="15">
        <f t="shared" ca="1" si="16"/>
        <v>1.03424</v>
      </c>
      <c r="I15" s="19">
        <f t="shared" ca="1" si="17"/>
        <v>1.03424</v>
      </c>
      <c r="J15" s="20" t="str">
        <f t="shared" ca="1" si="18"/>
        <v/>
      </c>
      <c r="K15" s="17" t="str">
        <f t="shared" ca="1" si="9"/>
        <v>包1</v>
      </c>
    </row>
    <row r="16" spans="1:19" ht="18" customHeight="1" x14ac:dyDescent="0.15">
      <c r="A16" s="10">
        <f ca="1">COUNTIF(K$8:K16,K16)-1</f>
        <v>8</v>
      </c>
      <c r="B16" s="11" t="str">
        <f t="shared" ca="1" si="10"/>
        <v>低压电容柜</v>
      </c>
      <c r="C16" s="11" t="str">
        <f t="shared" ca="1" si="11"/>
        <v>GGJ-800*600*2000</v>
      </c>
      <c r="D16" s="12" t="str">
        <f t="shared" ca="1" si="12"/>
        <v>浙江</v>
      </c>
      <c r="E16" s="11" t="str">
        <f t="shared" ca="1" si="13"/>
        <v>精益联合集团有限公司</v>
      </c>
      <c r="F16" s="13" t="str">
        <f t="shared" ca="1" si="14"/>
        <v>台</v>
      </c>
      <c r="G16" s="14">
        <f t="shared" ca="1" si="15"/>
        <v>1</v>
      </c>
      <c r="H16" s="15">
        <f t="shared" ca="1" si="16"/>
        <v>1.2394600000000002</v>
      </c>
      <c r="I16" s="19">
        <f t="shared" ca="1" si="17"/>
        <v>1.2394600000000002</v>
      </c>
      <c r="J16" s="20" t="str">
        <f t="shared" ca="1" si="18"/>
        <v/>
      </c>
      <c r="K16" s="17" t="str">
        <f t="shared" ca="1" si="9"/>
        <v>包1</v>
      </c>
    </row>
    <row r="17" spans="1:11" ht="18" customHeight="1" x14ac:dyDescent="0.15">
      <c r="A17" s="10">
        <f ca="1">COUNTIF(K$8:K17,K17)-1</f>
        <v>9</v>
      </c>
      <c r="B17" s="11" t="str">
        <f t="shared" ca="1" si="10"/>
        <v>箱体</v>
      </c>
      <c r="C17" s="11" t="str">
        <f t="shared" ca="1" si="11"/>
        <v>GRC</v>
      </c>
      <c r="D17" s="12" t="str">
        <f t="shared" ca="1" si="12"/>
        <v>浙江</v>
      </c>
      <c r="E17" s="11" t="str">
        <f t="shared" ca="1" si="13"/>
        <v>精益联合集团有限公司</v>
      </c>
      <c r="F17" s="13" t="str">
        <f t="shared" ca="1" si="14"/>
        <v>台</v>
      </c>
      <c r="G17" s="14">
        <f t="shared" ca="1" si="15"/>
        <v>1</v>
      </c>
      <c r="H17" s="15">
        <f t="shared" ca="1" si="16"/>
        <v>3.68</v>
      </c>
      <c r="I17" s="19">
        <f t="shared" ca="1" si="17"/>
        <v>3.68</v>
      </c>
      <c r="J17" s="20" t="str">
        <f t="shared" ca="1" si="18"/>
        <v/>
      </c>
      <c r="K17" s="17" t="str">
        <f t="shared" ca="1" si="9"/>
        <v>包1</v>
      </c>
    </row>
    <row r="18" spans="1:11" ht="18" customHeight="1" x14ac:dyDescent="0.15">
      <c r="A18" s="10">
        <f ca="1">COUNTIF(K$8:K18,K18)-1</f>
        <v>10</v>
      </c>
      <c r="B18" s="11" t="str">
        <f t="shared" ca="1" si="10"/>
        <v>高压充气柜</v>
      </c>
      <c r="C18" s="11" t="str">
        <f t="shared" ca="1" si="11"/>
        <v>CCF</v>
      </c>
      <c r="D18" s="12" t="str">
        <f t="shared" ca="1" si="12"/>
        <v>浙江</v>
      </c>
      <c r="E18" s="11" t="str">
        <f t="shared" ca="1" si="13"/>
        <v>精益联合集团有限公司</v>
      </c>
      <c r="F18" s="13" t="str">
        <f t="shared" ca="1" si="14"/>
        <v>台</v>
      </c>
      <c r="G18" s="14">
        <f t="shared" ca="1" si="15"/>
        <v>1</v>
      </c>
      <c r="H18" s="15">
        <f t="shared" ca="1" si="16"/>
        <v>2.7988999999999997</v>
      </c>
      <c r="I18" s="19">
        <f t="shared" ca="1" si="17"/>
        <v>2.7988999999999997</v>
      </c>
      <c r="J18" s="20" t="str">
        <f t="shared" ca="1" si="18"/>
        <v/>
      </c>
      <c r="K18" s="17" t="str">
        <f t="shared" ca="1" si="9"/>
        <v>包1</v>
      </c>
    </row>
    <row r="19" spans="1:11" ht="18" customHeight="1" x14ac:dyDescent="0.15">
      <c r="A19" s="10">
        <f ca="1">COUNTIF(K$8:K19,K19)-1</f>
        <v>11</v>
      </c>
      <c r="B19" s="11" t="str">
        <f t="shared" ca="1" si="10"/>
        <v>变压器</v>
      </c>
      <c r="C19" s="11" t="str">
        <f t="shared" ca="1" si="11"/>
        <v>S13-M-630KVA 全铜</v>
      </c>
      <c r="D19" s="12" t="str">
        <f t="shared" ca="1" si="12"/>
        <v>浙江</v>
      </c>
      <c r="E19" s="11" t="str">
        <f t="shared" ca="1" si="13"/>
        <v>弘乐电气有限公司</v>
      </c>
      <c r="F19" s="13" t="str">
        <f t="shared" ca="1" si="14"/>
        <v>台</v>
      </c>
      <c r="G19" s="14">
        <f t="shared" ca="1" si="15"/>
        <v>1</v>
      </c>
      <c r="H19" s="15">
        <f t="shared" ca="1" si="16"/>
        <v>5.7149999999999999</v>
      </c>
      <c r="I19" s="19">
        <f t="shared" ca="1" si="17"/>
        <v>5.7149999999999999</v>
      </c>
      <c r="J19" s="20" t="str">
        <f t="shared" ca="1" si="18"/>
        <v/>
      </c>
      <c r="K19" s="17" t="str">
        <f t="shared" ca="1" si="9"/>
        <v>包1</v>
      </c>
    </row>
    <row r="20" spans="1:11" ht="18" customHeight="1" x14ac:dyDescent="0.15">
      <c r="A20" s="10">
        <f ca="1">COUNTIF(K$8:K20,K20)-1</f>
        <v>12</v>
      </c>
      <c r="B20" s="11" t="str">
        <f t="shared" ca="1" si="10"/>
        <v>母线</v>
      </c>
      <c r="C20" s="11">
        <f t="shared" ca="1" si="11"/>
        <v>0</v>
      </c>
      <c r="D20" s="12" t="str">
        <f t="shared" ca="1" si="12"/>
        <v>上海</v>
      </c>
      <c r="E20" s="11" t="str">
        <f t="shared" ca="1" si="13"/>
        <v>上海半径电力铜材有限公司</v>
      </c>
      <c r="F20" s="13" t="str">
        <f t="shared" ca="1" si="14"/>
        <v>台</v>
      </c>
      <c r="G20" s="14">
        <f t="shared" ca="1" si="15"/>
        <v>1</v>
      </c>
      <c r="H20" s="15">
        <f t="shared" ca="1" si="16"/>
        <v>0.55599999999999994</v>
      </c>
      <c r="I20" s="19">
        <f t="shared" ca="1" si="17"/>
        <v>0.55599999999999994</v>
      </c>
      <c r="J20" s="20" t="str">
        <f t="shared" ca="1" si="18"/>
        <v/>
      </c>
      <c r="K20" s="17" t="str">
        <f t="shared" ca="1" si="9"/>
        <v>包1</v>
      </c>
    </row>
    <row r="21" spans="1:11" ht="18" customHeight="1" x14ac:dyDescent="0.15">
      <c r="A21" s="10">
        <f ca="1">COUNTIF(K$8:K21,K21)-1</f>
        <v>13</v>
      </c>
      <c r="B21" s="11" t="str">
        <f t="shared" ca="1" si="10"/>
        <v>低压进线柜</v>
      </c>
      <c r="C21" s="11" t="str">
        <f t="shared" ca="1" si="11"/>
        <v>GGD-800*600*2000</v>
      </c>
      <c r="D21" s="12" t="str">
        <f t="shared" ca="1" si="12"/>
        <v>浙江</v>
      </c>
      <c r="E21" s="11" t="str">
        <f t="shared" ca="1" si="13"/>
        <v>精益联合集团有限公司</v>
      </c>
      <c r="F21" s="13" t="str">
        <f t="shared" ca="1" si="14"/>
        <v>台</v>
      </c>
      <c r="G21" s="14">
        <f t="shared" ca="1" si="15"/>
        <v>1</v>
      </c>
      <c r="H21" s="15">
        <f t="shared" ca="1" si="16"/>
        <v>1.5017600000000002</v>
      </c>
      <c r="I21" s="19">
        <f t="shared" ca="1" si="17"/>
        <v>1.5017600000000002</v>
      </c>
      <c r="J21" s="20" t="str">
        <f t="shared" ca="1" si="18"/>
        <v/>
      </c>
      <c r="K21" s="17" t="str">
        <f t="shared" ca="1" si="9"/>
        <v>包1</v>
      </c>
    </row>
    <row r="22" spans="1:11" ht="18" customHeight="1" x14ac:dyDescent="0.15">
      <c r="A22" s="10">
        <f ca="1">COUNTIF(K$8:K22,K22)-1</f>
        <v>14</v>
      </c>
      <c r="B22" s="11" t="str">
        <f t="shared" ca="1" si="10"/>
        <v>低压馈线柜</v>
      </c>
      <c r="C22" s="11" t="str">
        <f t="shared" ca="1" si="11"/>
        <v>GGD-1200*600*2000</v>
      </c>
      <c r="D22" s="12" t="str">
        <f t="shared" ca="1" si="12"/>
        <v>浙江</v>
      </c>
      <c r="E22" s="11" t="str">
        <f t="shared" ca="1" si="13"/>
        <v>精益联合集团有限公司</v>
      </c>
      <c r="F22" s="13" t="str">
        <f t="shared" ca="1" si="14"/>
        <v>台</v>
      </c>
      <c r="G22" s="14">
        <f t="shared" ca="1" si="15"/>
        <v>1</v>
      </c>
      <c r="H22" s="15">
        <f t="shared" ca="1" si="16"/>
        <v>1.0738599999999998</v>
      </c>
      <c r="I22" s="19">
        <f t="shared" ca="1" si="17"/>
        <v>1.0738599999999998</v>
      </c>
      <c r="J22" s="20" t="str">
        <f t="shared" ca="1" si="18"/>
        <v/>
      </c>
      <c r="K22" s="17" t="str">
        <f t="shared" ca="1" si="9"/>
        <v>包1</v>
      </c>
    </row>
    <row r="23" spans="1:11" ht="18" customHeight="1" x14ac:dyDescent="0.15">
      <c r="A23" s="10">
        <f ca="1">COUNTIF(K$8:K23,K23)-1</f>
        <v>15</v>
      </c>
      <c r="B23" s="11" t="str">
        <f t="shared" ca="1" si="10"/>
        <v>低压电容柜</v>
      </c>
      <c r="C23" s="11" t="str">
        <f t="shared" ca="1" si="11"/>
        <v>GGJ-800*600*2000</v>
      </c>
      <c r="D23" s="12" t="str">
        <f t="shared" ca="1" si="12"/>
        <v>浙江</v>
      </c>
      <c r="E23" s="11" t="str">
        <f t="shared" ca="1" si="13"/>
        <v>精益联合集团有限公司</v>
      </c>
      <c r="F23" s="13" t="str">
        <f t="shared" ca="1" si="14"/>
        <v>台</v>
      </c>
      <c r="G23" s="14">
        <f t="shared" ca="1" si="15"/>
        <v>1</v>
      </c>
      <c r="H23" s="15">
        <f t="shared" ca="1" si="16"/>
        <v>1.31786</v>
      </c>
      <c r="I23" s="19">
        <f t="shared" ca="1" si="17"/>
        <v>1.31786</v>
      </c>
      <c r="J23" s="20" t="str">
        <f t="shared" ca="1" si="18"/>
        <v/>
      </c>
      <c r="K23" s="17" t="str">
        <f t="shared" ca="1" si="9"/>
        <v>包1</v>
      </c>
    </row>
    <row r="24" spans="1:11" ht="18" customHeight="1" x14ac:dyDescent="0.15">
      <c r="A24" s="10">
        <f ca="1">COUNTIF(K$8:K24,K24)-1</f>
        <v>16</v>
      </c>
      <c r="B24" s="11" t="str">
        <f t="shared" ca="1" si="0"/>
        <v>箱体</v>
      </c>
      <c r="C24" s="11" t="str">
        <f t="shared" ca="1" si="1"/>
        <v>GRC</v>
      </c>
      <c r="D24" s="12" t="str">
        <f t="shared" ca="1" si="2"/>
        <v>浙江</v>
      </c>
      <c r="E24" s="11" t="str">
        <f t="shared" ca="1" si="3"/>
        <v>精益联合集团有限公司</v>
      </c>
      <c r="F24" s="13" t="str">
        <f t="shared" ca="1" si="4"/>
        <v>台</v>
      </c>
      <c r="G24" s="14">
        <f t="shared" ca="1" si="5"/>
        <v>1</v>
      </c>
      <c r="H24" s="15">
        <f t="shared" ca="1" si="6"/>
        <v>3.0379999999999998</v>
      </c>
      <c r="I24" s="19">
        <f t="shared" ca="1" si="7"/>
        <v>3.0379999999999998</v>
      </c>
      <c r="J24" s="20" t="str">
        <f t="shared" ca="1" si="8"/>
        <v/>
      </c>
      <c r="K24" s="17" t="str">
        <f t="shared" ca="1" si="9"/>
        <v>包1</v>
      </c>
    </row>
    <row r="25" spans="1:11" ht="18" customHeight="1" x14ac:dyDescent="0.15">
      <c r="A25" s="10">
        <f ca="1">COUNTIF(K$8:K25,K25)-1</f>
        <v>17</v>
      </c>
      <c r="B25" s="11" t="str">
        <f t="shared" ca="1" si="0"/>
        <v>高压充气柜</v>
      </c>
      <c r="C25" s="11" t="str">
        <f t="shared" ca="1" si="1"/>
        <v>CCF</v>
      </c>
      <c r="D25" s="12" t="str">
        <f t="shared" ca="1" si="2"/>
        <v>浙江</v>
      </c>
      <c r="E25" s="11" t="str">
        <f t="shared" ca="1" si="3"/>
        <v>精益联合集团有限公司</v>
      </c>
      <c r="F25" s="13" t="str">
        <f t="shared" ca="1" si="4"/>
        <v>台</v>
      </c>
      <c r="G25" s="14">
        <f t="shared" ca="1" si="5"/>
        <v>1</v>
      </c>
      <c r="H25" s="15">
        <f t="shared" ca="1" si="6"/>
        <v>2.7988999999999997</v>
      </c>
      <c r="I25" s="19">
        <f t="shared" ca="1" si="7"/>
        <v>2.7988999999999997</v>
      </c>
      <c r="J25" s="20" t="str">
        <f t="shared" ca="1" si="8"/>
        <v/>
      </c>
      <c r="K25" s="17" t="str">
        <f t="shared" ca="1" si="9"/>
        <v>包1</v>
      </c>
    </row>
    <row r="26" spans="1:11" ht="18" customHeight="1" x14ac:dyDescent="0.15">
      <c r="A26" s="10">
        <f ca="1">COUNTIF(K$8:K26,K26)-1</f>
        <v>18</v>
      </c>
      <c r="B26" s="11" t="str">
        <f t="shared" ca="1" si="0"/>
        <v>变压器</v>
      </c>
      <c r="C26" s="11" t="str">
        <f t="shared" ca="1" si="1"/>
        <v>S13-M-500KVA 全铜</v>
      </c>
      <c r="D26" s="12" t="str">
        <f t="shared" ca="1" si="2"/>
        <v>浙江</v>
      </c>
      <c r="E26" s="11" t="str">
        <f t="shared" ca="1" si="3"/>
        <v>弘乐电气有限公司</v>
      </c>
      <c r="F26" s="13" t="str">
        <f t="shared" ca="1" si="4"/>
        <v>台</v>
      </c>
      <c r="G26" s="14">
        <f t="shared" ca="1" si="5"/>
        <v>1</v>
      </c>
      <c r="H26" s="15">
        <f t="shared" ca="1" si="6"/>
        <v>4.7250000000000005</v>
      </c>
      <c r="I26" s="19">
        <f t="shared" ca="1" si="7"/>
        <v>4.7250000000000005</v>
      </c>
      <c r="J26" s="20" t="str">
        <f t="shared" ca="1" si="8"/>
        <v/>
      </c>
      <c r="K26" s="17" t="str">
        <f t="shared" ca="1" si="9"/>
        <v>包1</v>
      </c>
    </row>
    <row r="27" spans="1:11" ht="18" customHeight="1" x14ac:dyDescent="0.15">
      <c r="A27" s="10">
        <f ca="1">COUNTIF(K$8:K27,K27)-1</f>
        <v>19</v>
      </c>
      <c r="B27" s="11" t="str">
        <f t="shared" ca="1" si="0"/>
        <v>母线</v>
      </c>
      <c r="C27" s="11">
        <f t="shared" ca="1" si="1"/>
        <v>0</v>
      </c>
      <c r="D27" s="12" t="str">
        <f t="shared" ca="1" si="2"/>
        <v>上海</v>
      </c>
      <c r="E27" s="11" t="str">
        <f t="shared" ca="1" si="3"/>
        <v>上海半径电力铜材有限公司</v>
      </c>
      <c r="F27" s="13" t="str">
        <f t="shared" ca="1" si="4"/>
        <v>台</v>
      </c>
      <c r="G27" s="14">
        <f t="shared" ca="1" si="5"/>
        <v>1</v>
      </c>
      <c r="H27" s="15">
        <f t="shared" ca="1" si="6"/>
        <v>0.39400000000000002</v>
      </c>
      <c r="I27" s="19">
        <f t="shared" ca="1" si="7"/>
        <v>0.39400000000000002</v>
      </c>
      <c r="J27" s="20" t="str">
        <f t="shared" ca="1" si="8"/>
        <v/>
      </c>
      <c r="K27" s="17" t="str">
        <f t="shared" ca="1" si="9"/>
        <v>包1</v>
      </c>
    </row>
    <row r="28" spans="1:11" ht="18" customHeight="1" x14ac:dyDescent="0.15">
      <c r="A28" s="10">
        <f ca="1">COUNTIF(K$8:K28,K28)-1</f>
        <v>20</v>
      </c>
      <c r="B28" s="11" t="str">
        <f t="shared" ca="1" si="0"/>
        <v>低压进线柜</v>
      </c>
      <c r="C28" s="11" t="str">
        <f t="shared" ca="1" si="1"/>
        <v>GGD-800*600*2000</v>
      </c>
      <c r="D28" s="12" t="str">
        <f t="shared" ca="1" si="2"/>
        <v>浙江</v>
      </c>
      <c r="E28" s="11" t="str">
        <f t="shared" ca="1" si="3"/>
        <v>精益联合集团有限公司</v>
      </c>
      <c r="F28" s="13" t="str">
        <f t="shared" ca="1" si="4"/>
        <v>台</v>
      </c>
      <c r="G28" s="14">
        <f t="shared" ca="1" si="5"/>
        <v>1</v>
      </c>
      <c r="H28" s="15">
        <f t="shared" ca="1" si="6"/>
        <v>1.1967399999999999</v>
      </c>
      <c r="I28" s="19">
        <f t="shared" ca="1" si="7"/>
        <v>1.1967399999999999</v>
      </c>
      <c r="J28" s="20" t="str">
        <f t="shared" ca="1" si="8"/>
        <v/>
      </c>
      <c r="K28" s="17" t="str">
        <f t="shared" ca="1" si="9"/>
        <v>包1</v>
      </c>
    </row>
    <row r="29" spans="1:11" ht="18" customHeight="1" x14ac:dyDescent="0.15">
      <c r="A29" s="10">
        <f ca="1">COUNTIF(K$8:K29,K29)-1</f>
        <v>21</v>
      </c>
      <c r="B29" s="11" t="str">
        <f t="shared" ca="1" si="0"/>
        <v>低压馈线柜</v>
      </c>
      <c r="C29" s="11" t="str">
        <f t="shared" ca="1" si="1"/>
        <v>GGD-1200*600*2000</v>
      </c>
      <c r="D29" s="12" t="str">
        <f t="shared" ca="1" si="2"/>
        <v>浙江</v>
      </c>
      <c r="E29" s="11" t="str">
        <f t="shared" ca="1" si="3"/>
        <v>精益联合集团有限公司</v>
      </c>
      <c r="F29" s="13" t="str">
        <f t="shared" ca="1" si="4"/>
        <v>台</v>
      </c>
      <c r="G29" s="14">
        <f t="shared" ca="1" si="5"/>
        <v>1</v>
      </c>
      <c r="H29" s="15">
        <f t="shared" ca="1" si="6"/>
        <v>1.0175399999999999</v>
      </c>
      <c r="I29" s="19">
        <f t="shared" ca="1" si="7"/>
        <v>1.0175399999999999</v>
      </c>
      <c r="J29" s="20" t="str">
        <f t="shared" ca="1" si="8"/>
        <v/>
      </c>
      <c r="K29" s="17" t="str">
        <f t="shared" ca="1" si="9"/>
        <v>包1</v>
      </c>
    </row>
    <row r="30" spans="1:11" ht="18" customHeight="1" x14ac:dyDescent="0.15">
      <c r="A30" s="10">
        <f ca="1">COUNTIF(K$8:K30,K30)-1</f>
        <v>22</v>
      </c>
      <c r="B30" s="11" t="str">
        <f t="shared" ca="1" si="0"/>
        <v>低压电容柜</v>
      </c>
      <c r="C30" s="11" t="str">
        <f t="shared" ca="1" si="1"/>
        <v>GGJ-800*600*2000</v>
      </c>
      <c r="D30" s="12" t="str">
        <f t="shared" ca="1" si="2"/>
        <v>浙江</v>
      </c>
      <c r="E30" s="11" t="str">
        <f t="shared" ca="1" si="3"/>
        <v>精益联合集团有限公司</v>
      </c>
      <c r="F30" s="13" t="str">
        <f t="shared" ca="1" si="4"/>
        <v>台</v>
      </c>
      <c r="G30" s="14">
        <f t="shared" ca="1" si="5"/>
        <v>1</v>
      </c>
      <c r="H30" s="15">
        <f t="shared" ca="1" si="6"/>
        <v>1.2615400000000001</v>
      </c>
      <c r="I30" s="19">
        <f t="shared" ca="1" si="7"/>
        <v>1.2615400000000001</v>
      </c>
      <c r="J30" s="20" t="str">
        <f t="shared" ca="1" si="8"/>
        <v/>
      </c>
      <c r="K30" s="17" t="str">
        <f t="shared" ca="1" si="9"/>
        <v>包1</v>
      </c>
    </row>
    <row r="31" spans="1:11" ht="18" customHeight="1" x14ac:dyDescent="0.15">
      <c r="A31" s="10">
        <f ca="1">COUNTIF(K$8:K31,K31)-1</f>
        <v>23</v>
      </c>
      <c r="B31" s="11" t="str">
        <f t="shared" ca="1" si="0"/>
        <v>箱体</v>
      </c>
      <c r="C31" s="11" t="str">
        <f t="shared" ca="1" si="1"/>
        <v>GRC</v>
      </c>
      <c r="D31" s="12" t="str">
        <f t="shared" ca="1" si="2"/>
        <v>浙江</v>
      </c>
      <c r="E31" s="11" t="str">
        <f t="shared" ca="1" si="3"/>
        <v>精益联合集团有限公司</v>
      </c>
      <c r="F31" s="13" t="str">
        <f t="shared" ca="1" si="4"/>
        <v>台</v>
      </c>
      <c r="G31" s="14">
        <f t="shared" ca="1" si="5"/>
        <v>1</v>
      </c>
      <c r="H31" s="15">
        <f t="shared" ca="1" si="6"/>
        <v>3.0379999999999998</v>
      </c>
      <c r="I31" s="19">
        <f t="shared" ca="1" si="7"/>
        <v>3.0379999999999998</v>
      </c>
      <c r="J31" s="20" t="str">
        <f t="shared" ca="1" si="8"/>
        <v/>
      </c>
      <c r="K31" s="17" t="str">
        <f t="shared" ca="1" si="9"/>
        <v>包1</v>
      </c>
    </row>
    <row r="32" spans="1:11" ht="18" customHeight="1" x14ac:dyDescent="0.15">
      <c r="A32" s="10">
        <f ca="1">COUNTIF(K$8:K32,K32)-1</f>
        <v>24</v>
      </c>
      <c r="B32" s="11" t="str">
        <f t="shared" ca="1" si="0"/>
        <v>高压充气柜</v>
      </c>
      <c r="C32" s="11" t="str">
        <f t="shared" ca="1" si="1"/>
        <v>CCF</v>
      </c>
      <c r="D32" s="12" t="str">
        <f t="shared" ca="1" si="2"/>
        <v>浙江</v>
      </c>
      <c r="E32" s="11" t="str">
        <f t="shared" ca="1" si="3"/>
        <v>精益联合集团有限公司</v>
      </c>
      <c r="F32" s="13" t="str">
        <f t="shared" ca="1" si="4"/>
        <v>台</v>
      </c>
      <c r="G32" s="14">
        <f t="shared" ca="1" si="5"/>
        <v>1</v>
      </c>
      <c r="H32" s="15">
        <f t="shared" ca="1" si="6"/>
        <v>11.120000000000001</v>
      </c>
      <c r="I32" s="19">
        <f t="shared" ca="1" si="7"/>
        <v>11.120000000000001</v>
      </c>
      <c r="J32" s="20" t="str">
        <f t="shared" ca="1" si="8"/>
        <v/>
      </c>
      <c r="K32" s="17" t="str">
        <f t="shared" ca="1" si="9"/>
        <v>包1</v>
      </c>
    </row>
    <row r="33" spans="1:11" ht="18" customHeight="1" x14ac:dyDescent="0.15">
      <c r="A33" s="10">
        <f ca="1">COUNTIF(K$8:K33,K33)-1</f>
        <v>25</v>
      </c>
      <c r="B33" s="11" t="str">
        <f t="shared" ca="1" si="0"/>
        <v>变压器</v>
      </c>
      <c r="C33" s="11" t="str">
        <f t="shared" ca="1" si="1"/>
        <v>S13-M-400KVA 全铜</v>
      </c>
      <c r="D33" s="12" t="str">
        <f t="shared" ca="1" si="2"/>
        <v>浙江</v>
      </c>
      <c r="E33" s="11" t="str">
        <f t="shared" ca="1" si="3"/>
        <v>弘乐电气有限公司</v>
      </c>
      <c r="F33" s="13" t="str">
        <f t="shared" ca="1" si="4"/>
        <v>台</v>
      </c>
      <c r="G33" s="14">
        <f t="shared" ca="1" si="5"/>
        <v>1</v>
      </c>
      <c r="H33" s="15">
        <f t="shared" ca="1" si="6"/>
        <v>3.8850000000000002</v>
      </c>
      <c r="I33" s="19">
        <f t="shared" ca="1" si="7"/>
        <v>3.8850000000000002</v>
      </c>
      <c r="J33" s="20" t="str">
        <f t="shared" ca="1" si="8"/>
        <v/>
      </c>
      <c r="K33" s="17" t="str">
        <f t="shared" ca="1" si="9"/>
        <v>包1</v>
      </c>
    </row>
    <row r="34" spans="1:11" ht="11.1" customHeight="1" x14ac:dyDescent="0.15">
      <c r="A34" s="472"/>
      <c r="B34" s="473"/>
      <c r="C34" s="473"/>
      <c r="D34" s="473"/>
      <c r="E34" s="473"/>
      <c r="F34" s="473"/>
      <c r="G34" s="473"/>
      <c r="H34" s="473"/>
      <c r="I34" s="473"/>
      <c r="J34" s="474"/>
      <c r="K34" s="17" t="str">
        <f t="shared" ca="1" si="9"/>
        <v>包1</v>
      </c>
    </row>
    <row r="35" spans="1:11" ht="21" customHeight="1" x14ac:dyDescent="0.15">
      <c r="A35" s="475" t="str">
        <f ca="1">K35&amp;"合计："</f>
        <v>包1合计：</v>
      </c>
      <c r="B35" s="476"/>
      <c r="C35" s="476"/>
      <c r="D35" s="476"/>
      <c r="E35" s="477"/>
      <c r="F35" s="478" t="str">
        <f ca="1">SUM(G8:G34)&amp;"台"</f>
        <v>25台</v>
      </c>
      <c r="G35" s="479"/>
      <c r="H35" s="465">
        <f ca="1">SUM(I8:I34)</f>
        <v>67.846760000000003</v>
      </c>
      <c r="I35" s="465"/>
      <c r="J35" s="465"/>
      <c r="K35" s="17" t="str">
        <f t="shared" ca="1" si="9"/>
        <v>包1</v>
      </c>
    </row>
    <row r="36" spans="1:11" s="1" customFormat="1" ht="24" customHeight="1" x14ac:dyDescent="0.2">
      <c r="A36" s="471" t="s">
        <v>251</v>
      </c>
      <c r="B36" s="471"/>
      <c r="C36" s="8"/>
      <c r="D36" s="9"/>
      <c r="E36" s="8"/>
      <c r="F36" s="9"/>
      <c r="G36" s="9"/>
      <c r="K36" s="17" t="str">
        <f>IF(ISNUMBER(FIND("配电柜",A36)),LEFT(A36,LEN(A36)-3),A36)</f>
        <v>包2</v>
      </c>
    </row>
    <row r="37" spans="1:11" ht="18" customHeight="1" x14ac:dyDescent="0.15">
      <c r="A37" s="10">
        <f ca="1">COUNTIF(K$8:K37,K37)-1</f>
        <v>1</v>
      </c>
      <c r="B37" s="11" t="str">
        <f ca="1">IFERROR(VLOOKUP(A37,INDIRECT("'"&amp;K37&amp;"'!A:I"),3,FALSE),"")</f>
        <v/>
      </c>
      <c r="C37" s="11" t="str">
        <f ca="1">IFERROR(VLOOKUP(A37,INDIRECT("'"&amp;K37&amp;"'!A:I"),4,FALSE),"")</f>
        <v/>
      </c>
      <c r="D37" s="12" t="str">
        <f ca="1">IFERROR(VLOOKUP(A37,INDIRECT("'"&amp;K37&amp;"'!A:I"),5,FALSE),"")</f>
        <v/>
      </c>
      <c r="E37" s="11" t="str">
        <f ca="1">IF(B37="","",IF(VLOOKUP(A37,INDIRECT("'"&amp;K37&amp;"'!A:I"),6,FALSE)="","",IFERROR(VLOOKUP(A37,INDIRECT("'"&amp;K37&amp;"'!A:I"),6,FALSE),"")))</f>
        <v/>
      </c>
      <c r="F37" s="13" t="str">
        <f ca="1">IFERROR(VLOOKUP(A37,INDIRECT("'"&amp;K37&amp;"'!A:I"),7,FALSE),"")</f>
        <v/>
      </c>
      <c r="G37" s="14" t="str">
        <f ca="1">IFERROR(VLOOKUP(A37,INDIRECT("'"&amp;K37&amp;"'!A:I"),8,FALSE),"")</f>
        <v/>
      </c>
      <c r="H37" s="15" t="str">
        <f ca="1">IFERROR(VLOOKUP(A37,INDIRECT("'"&amp;K37&amp;"'!A:I"),9,FALSE),"")</f>
        <v/>
      </c>
      <c r="I37" s="19" t="str">
        <f ca="1">IFERROR(G37*H37,"")</f>
        <v/>
      </c>
      <c r="J37" s="20" t="str">
        <f ca="1">IF(B37="","",IF(VLOOKUP(A37,INDIRECT("'"&amp;K37&amp;"'!A:L"),11,FALSE)="","",IFERROR(VLOOKUP(A37,INDIRECT("'"&amp;K37&amp;"'!A:L"),11,FALSE),"")))</f>
        <v/>
      </c>
      <c r="K37" s="17" t="str">
        <f t="shared" ca="1" si="9"/>
        <v>包2</v>
      </c>
    </row>
    <row r="38" spans="1:11" ht="18" customHeight="1" x14ac:dyDescent="0.15">
      <c r="A38" s="10">
        <f ca="1">COUNTIF(K$8:K38,K38)-1</f>
        <v>2</v>
      </c>
      <c r="B38" s="11" t="str">
        <f ca="1">IFERROR(VLOOKUP(A38,INDIRECT("'"&amp;K38&amp;"'!A:I"),3,FALSE),"")</f>
        <v/>
      </c>
      <c r="C38" s="11" t="str">
        <f ca="1">IFERROR(VLOOKUP(A38,INDIRECT("'"&amp;K38&amp;"'!A:I"),4,FALSE),"")</f>
        <v/>
      </c>
      <c r="D38" s="12" t="str">
        <f ca="1">IFERROR(VLOOKUP(A38,INDIRECT("'"&amp;K38&amp;"'!A:I"),5,FALSE),"")</f>
        <v/>
      </c>
      <c r="E38" s="11" t="str">
        <f ca="1">IF(B38="","",IF(VLOOKUP(A38,INDIRECT("'"&amp;K38&amp;"'!A:I"),6,FALSE)="","",IFERROR(VLOOKUP(A38,INDIRECT("'"&amp;K38&amp;"'!A:I"),6,FALSE),"")))</f>
        <v/>
      </c>
      <c r="F38" s="13" t="str">
        <f ca="1">IFERROR(VLOOKUP(A38,INDIRECT("'"&amp;K38&amp;"'!A:I"),7,FALSE),"")</f>
        <v/>
      </c>
      <c r="G38" s="14" t="str">
        <f ca="1">IFERROR(VLOOKUP(A38,INDIRECT("'"&amp;K38&amp;"'!A:I"),8,FALSE),"")</f>
        <v/>
      </c>
      <c r="H38" s="15" t="str">
        <f ca="1">IFERROR(VLOOKUP(A38,INDIRECT("'"&amp;K38&amp;"'!A:I"),9,FALSE),"")</f>
        <v/>
      </c>
      <c r="I38" s="19" t="str">
        <f ca="1">IFERROR(G38*H38,"")</f>
        <v/>
      </c>
      <c r="J38" s="20" t="str">
        <f ca="1">IF(B38="","",IF(VLOOKUP(A38,INDIRECT("'"&amp;K38&amp;"'!A:L"),11,FALSE)="","",IFERROR(VLOOKUP(A38,INDIRECT("'"&amp;K38&amp;"'!A:L"),11,FALSE),"")))</f>
        <v/>
      </c>
      <c r="K38" s="17" t="str">
        <f t="shared" ca="1" si="9"/>
        <v>包2</v>
      </c>
    </row>
    <row r="39" spans="1:11" ht="18" customHeight="1" x14ac:dyDescent="0.15">
      <c r="A39" s="10">
        <f ca="1">COUNTIF(K$8:K39,K39)-1</f>
        <v>3</v>
      </c>
      <c r="B39" s="11" t="str">
        <f ca="1">IFERROR(VLOOKUP(A39,INDIRECT("'"&amp;K39&amp;"'!A:I"),3,FALSE),"")</f>
        <v/>
      </c>
      <c r="C39" s="11" t="str">
        <f ca="1">IFERROR(VLOOKUP(A39,INDIRECT("'"&amp;K39&amp;"'!A:I"),4,FALSE),"")</f>
        <v/>
      </c>
      <c r="D39" s="12" t="str">
        <f ca="1">IFERROR(VLOOKUP(A39,INDIRECT("'"&amp;K39&amp;"'!A:I"),5,FALSE),"")</f>
        <v/>
      </c>
      <c r="E39" s="11" t="str">
        <f ca="1">IF(B39="","",IF(VLOOKUP(A39,INDIRECT("'"&amp;K39&amp;"'!A:I"),6,FALSE)="","",IFERROR(VLOOKUP(A39,INDIRECT("'"&amp;K39&amp;"'!A:I"),6,FALSE),"")))</f>
        <v/>
      </c>
      <c r="F39" s="13" t="str">
        <f ca="1">IFERROR(VLOOKUP(A39,INDIRECT("'"&amp;K39&amp;"'!A:I"),7,FALSE),"")</f>
        <v/>
      </c>
      <c r="G39" s="14" t="str">
        <f ca="1">IFERROR(VLOOKUP(A39,INDIRECT("'"&amp;K39&amp;"'!A:I"),8,FALSE),"")</f>
        <v/>
      </c>
      <c r="H39" s="15" t="str">
        <f ca="1">IFERROR(VLOOKUP(A39,INDIRECT("'"&amp;K39&amp;"'!A:I"),9,FALSE),"")</f>
        <v/>
      </c>
      <c r="I39" s="19" t="str">
        <f ca="1">IFERROR(G39*H39,"")</f>
        <v/>
      </c>
      <c r="J39" s="20" t="str">
        <f ca="1">IF(B39="","",IF(VLOOKUP(A39,INDIRECT("'"&amp;K39&amp;"'!A:L"),11,FALSE)="","",IFERROR(VLOOKUP(A39,INDIRECT("'"&amp;K39&amp;"'!A:L"),11,FALSE),"")))</f>
        <v/>
      </c>
      <c r="K39" s="17" t="str">
        <f t="shared" ca="1" si="9"/>
        <v>包2</v>
      </c>
    </row>
    <row r="40" spans="1:11" ht="18" customHeight="1" x14ac:dyDescent="0.15">
      <c r="A40" s="10">
        <f ca="1">COUNTIF(K$8:K40,K40)-1</f>
        <v>4</v>
      </c>
      <c r="B40" s="11" t="str">
        <f ca="1">IFERROR(VLOOKUP(A40,INDIRECT("'"&amp;K40&amp;"'!A:I"),3,FALSE),"")</f>
        <v/>
      </c>
      <c r="C40" s="11" t="str">
        <f ca="1">IFERROR(VLOOKUP(A40,INDIRECT("'"&amp;K40&amp;"'!A:I"),4,FALSE),"")</f>
        <v/>
      </c>
      <c r="D40" s="12" t="str">
        <f ca="1">IFERROR(VLOOKUP(A40,INDIRECT("'"&amp;K40&amp;"'!A:I"),5,FALSE),"")</f>
        <v/>
      </c>
      <c r="E40" s="11" t="str">
        <f ca="1">IF(B40="","",IF(VLOOKUP(A40,INDIRECT("'"&amp;K40&amp;"'!A:I"),6,FALSE)="","",IFERROR(VLOOKUP(A40,INDIRECT("'"&amp;K40&amp;"'!A:I"),6,FALSE),"")))</f>
        <v/>
      </c>
      <c r="F40" s="13" t="str">
        <f ca="1">IFERROR(VLOOKUP(A40,INDIRECT("'"&amp;K40&amp;"'!A:I"),7,FALSE),"")</f>
        <v/>
      </c>
      <c r="G40" s="14" t="str">
        <f ca="1">IFERROR(VLOOKUP(A40,INDIRECT("'"&amp;K40&amp;"'!A:I"),8,FALSE),"")</f>
        <v/>
      </c>
      <c r="H40" s="15" t="str">
        <f ca="1">IFERROR(VLOOKUP(A40,INDIRECT("'"&amp;K40&amp;"'!A:I"),9,FALSE),"")</f>
        <v/>
      </c>
      <c r="I40" s="19" t="str">
        <f ca="1">IFERROR(G40*H40,"")</f>
        <v/>
      </c>
      <c r="J40" s="20" t="str">
        <f ca="1">IF(B40="","",IF(VLOOKUP(A40,INDIRECT("'"&amp;K40&amp;"'!A:L"),11,FALSE)="","",IFERROR(VLOOKUP(A40,INDIRECT("'"&amp;K40&amp;"'!A:L"),11,FALSE),"")))</f>
        <v/>
      </c>
      <c r="K40" s="17" t="str">
        <f t="shared" ca="1" si="9"/>
        <v>包2</v>
      </c>
    </row>
    <row r="41" spans="1:11" ht="18" customHeight="1" x14ac:dyDescent="0.15">
      <c r="A41" s="10">
        <f ca="1">COUNTIF(K$8:K41,K41)-1</f>
        <v>5</v>
      </c>
      <c r="B41" s="11" t="str">
        <f ca="1">IFERROR(VLOOKUP(A41,INDIRECT("'"&amp;K41&amp;"'!A:I"),3,FALSE),"")</f>
        <v/>
      </c>
      <c r="C41" s="11" t="str">
        <f ca="1">IFERROR(VLOOKUP(A41,INDIRECT("'"&amp;K41&amp;"'!A:I"),4,FALSE),"")</f>
        <v/>
      </c>
      <c r="D41" s="12" t="str">
        <f ca="1">IFERROR(VLOOKUP(A41,INDIRECT("'"&amp;K41&amp;"'!A:I"),5,FALSE),"")</f>
        <v/>
      </c>
      <c r="E41" s="11" t="str">
        <f ca="1">IF(B41="","",IF(VLOOKUP(A41,INDIRECT("'"&amp;K41&amp;"'!A:I"),6,FALSE)="","",IFERROR(VLOOKUP(A41,INDIRECT("'"&amp;K41&amp;"'!A:I"),6,FALSE),"")))</f>
        <v/>
      </c>
      <c r="F41" s="13" t="str">
        <f ca="1">IFERROR(VLOOKUP(A41,INDIRECT("'"&amp;K41&amp;"'!A:I"),7,FALSE),"")</f>
        <v/>
      </c>
      <c r="G41" s="14" t="str">
        <f ca="1">IFERROR(VLOOKUP(A41,INDIRECT("'"&amp;K41&amp;"'!A:I"),8,FALSE),"")</f>
        <v/>
      </c>
      <c r="H41" s="15" t="str">
        <f ca="1">IFERROR(VLOOKUP(A41,INDIRECT("'"&amp;K41&amp;"'!A:I"),9,FALSE),"")</f>
        <v/>
      </c>
      <c r="I41" s="19" t="str">
        <f ca="1">IFERROR(G41*H41,"")</f>
        <v/>
      </c>
      <c r="J41" s="20" t="str">
        <f ca="1">IF(B41="","",IF(VLOOKUP(A41,INDIRECT("'"&amp;K41&amp;"'!A:L"),11,FALSE)="","",IFERROR(VLOOKUP(A41,INDIRECT("'"&amp;K41&amp;"'!A:L"),11,FALSE),"")))</f>
        <v/>
      </c>
      <c r="K41" s="17" t="str">
        <f t="shared" ca="1" si="9"/>
        <v>包2</v>
      </c>
    </row>
    <row r="42" spans="1:11" ht="18" customHeight="1" x14ac:dyDescent="0.15">
      <c r="A42" s="10">
        <f ca="1">COUNTIF(K$8:K42,K42)-1</f>
        <v>6</v>
      </c>
      <c r="B42" s="11" t="str">
        <f t="shared" ref="B42:B48" ca="1" si="19">IFERROR(VLOOKUP(A42,INDIRECT("'"&amp;K42&amp;"'!A:I"),3,FALSE),"")</f>
        <v/>
      </c>
      <c r="C42" s="11" t="str">
        <f t="shared" ref="C42:C48" ca="1" si="20">IFERROR(VLOOKUP(A42,INDIRECT("'"&amp;K42&amp;"'!A:I"),4,FALSE),"")</f>
        <v/>
      </c>
      <c r="D42" s="12" t="str">
        <f t="shared" ref="D42:D48" ca="1" si="21">IFERROR(VLOOKUP(A42,INDIRECT("'"&amp;K42&amp;"'!A:I"),5,FALSE),"")</f>
        <v/>
      </c>
      <c r="E42" s="11" t="str">
        <f t="shared" ref="E42:E48" ca="1" si="22">IF(B42="","",IF(VLOOKUP(A42,INDIRECT("'"&amp;K42&amp;"'!A:I"),6,FALSE)="","",IFERROR(VLOOKUP(A42,INDIRECT("'"&amp;K42&amp;"'!A:I"),6,FALSE),"")))</f>
        <v/>
      </c>
      <c r="F42" s="13" t="str">
        <f t="shared" ref="F42:F48" ca="1" si="23">IFERROR(VLOOKUP(A42,INDIRECT("'"&amp;K42&amp;"'!A:I"),7,FALSE),"")</f>
        <v/>
      </c>
      <c r="G42" s="14" t="str">
        <f t="shared" ref="G42:G48" ca="1" si="24">IFERROR(VLOOKUP(A42,INDIRECT("'"&amp;K42&amp;"'!A:I"),8,FALSE),"")</f>
        <v/>
      </c>
      <c r="H42" s="15" t="str">
        <f t="shared" ref="H42:H48" ca="1" si="25">IFERROR(VLOOKUP(A42,INDIRECT("'"&amp;K42&amp;"'!A:I"),9,FALSE),"")</f>
        <v/>
      </c>
      <c r="I42" s="19" t="str">
        <f t="shared" ref="I42:I48" ca="1" si="26">IFERROR(G42*H42,"")</f>
        <v/>
      </c>
      <c r="J42" s="20" t="str">
        <f t="shared" ref="J42:J48" ca="1" si="27">IF(B42="","",IF(VLOOKUP(A42,INDIRECT("'"&amp;K42&amp;"'!A:L"),11,FALSE)="","",IFERROR(VLOOKUP(A42,INDIRECT("'"&amp;K42&amp;"'!A:L"),11,FALSE),"")))</f>
        <v/>
      </c>
      <c r="K42" s="17" t="str">
        <f t="shared" ca="1" si="9"/>
        <v>包2</v>
      </c>
    </row>
    <row r="43" spans="1:11" ht="18" customHeight="1" x14ac:dyDescent="0.15">
      <c r="A43" s="10">
        <f ca="1">COUNTIF(K$8:K43,K43)-1</f>
        <v>7</v>
      </c>
      <c r="B43" s="11" t="str">
        <f t="shared" ca="1" si="19"/>
        <v/>
      </c>
      <c r="C43" s="11" t="str">
        <f t="shared" ca="1" si="20"/>
        <v/>
      </c>
      <c r="D43" s="12" t="str">
        <f t="shared" ca="1" si="21"/>
        <v/>
      </c>
      <c r="E43" s="11" t="str">
        <f t="shared" ca="1" si="22"/>
        <v/>
      </c>
      <c r="F43" s="13" t="str">
        <f t="shared" ca="1" si="23"/>
        <v/>
      </c>
      <c r="G43" s="14" t="str">
        <f t="shared" ca="1" si="24"/>
        <v/>
      </c>
      <c r="H43" s="15" t="str">
        <f t="shared" ca="1" si="25"/>
        <v/>
      </c>
      <c r="I43" s="19" t="str">
        <f t="shared" ca="1" si="26"/>
        <v/>
      </c>
      <c r="J43" s="20" t="str">
        <f t="shared" ca="1" si="27"/>
        <v/>
      </c>
      <c r="K43" s="17" t="str">
        <f t="shared" ca="1" si="9"/>
        <v>包2</v>
      </c>
    </row>
    <row r="44" spans="1:11" ht="18" customHeight="1" x14ac:dyDescent="0.15">
      <c r="A44" s="10">
        <f ca="1">COUNTIF(K$8:K44,K44)-1</f>
        <v>8</v>
      </c>
      <c r="B44" s="11" t="str">
        <f t="shared" ca="1" si="19"/>
        <v/>
      </c>
      <c r="C44" s="11" t="str">
        <f t="shared" ca="1" si="20"/>
        <v/>
      </c>
      <c r="D44" s="12" t="str">
        <f t="shared" ca="1" si="21"/>
        <v/>
      </c>
      <c r="E44" s="11" t="str">
        <f t="shared" ca="1" si="22"/>
        <v/>
      </c>
      <c r="F44" s="13" t="str">
        <f t="shared" ca="1" si="23"/>
        <v/>
      </c>
      <c r="G44" s="14" t="str">
        <f t="shared" ca="1" si="24"/>
        <v/>
      </c>
      <c r="H44" s="15" t="str">
        <f t="shared" ca="1" si="25"/>
        <v/>
      </c>
      <c r="I44" s="19" t="str">
        <f t="shared" ca="1" si="26"/>
        <v/>
      </c>
      <c r="J44" s="20" t="str">
        <f t="shared" ca="1" si="27"/>
        <v/>
      </c>
      <c r="K44" s="17" t="str">
        <f t="shared" ca="1" si="9"/>
        <v>包2</v>
      </c>
    </row>
    <row r="45" spans="1:11" ht="18" customHeight="1" x14ac:dyDescent="0.15">
      <c r="A45" s="10">
        <f ca="1">COUNTIF(K$8:K45,K45)-1</f>
        <v>9</v>
      </c>
      <c r="B45" s="11" t="str">
        <f t="shared" ca="1" si="19"/>
        <v/>
      </c>
      <c r="C45" s="11" t="str">
        <f t="shared" ca="1" si="20"/>
        <v/>
      </c>
      <c r="D45" s="12" t="str">
        <f t="shared" ca="1" si="21"/>
        <v/>
      </c>
      <c r="E45" s="11" t="str">
        <f t="shared" ca="1" si="22"/>
        <v/>
      </c>
      <c r="F45" s="13" t="str">
        <f t="shared" ca="1" si="23"/>
        <v/>
      </c>
      <c r="G45" s="14" t="str">
        <f t="shared" ca="1" si="24"/>
        <v/>
      </c>
      <c r="H45" s="15" t="str">
        <f t="shared" ca="1" si="25"/>
        <v/>
      </c>
      <c r="I45" s="19" t="str">
        <f t="shared" ca="1" si="26"/>
        <v/>
      </c>
      <c r="J45" s="20" t="str">
        <f t="shared" ca="1" si="27"/>
        <v/>
      </c>
      <c r="K45" s="17" t="str">
        <f t="shared" ca="1" si="9"/>
        <v>包2</v>
      </c>
    </row>
    <row r="46" spans="1:11" ht="18" customHeight="1" x14ac:dyDescent="0.15">
      <c r="A46" s="10">
        <f ca="1">COUNTIF(K$8:K46,K46)-1</f>
        <v>10</v>
      </c>
      <c r="B46" s="11" t="str">
        <f t="shared" ca="1" si="19"/>
        <v/>
      </c>
      <c r="C46" s="11" t="str">
        <f t="shared" ca="1" si="20"/>
        <v/>
      </c>
      <c r="D46" s="12" t="str">
        <f t="shared" ca="1" si="21"/>
        <v/>
      </c>
      <c r="E46" s="11" t="str">
        <f t="shared" ca="1" si="22"/>
        <v/>
      </c>
      <c r="F46" s="13" t="str">
        <f t="shared" ca="1" si="23"/>
        <v/>
      </c>
      <c r="G46" s="14" t="str">
        <f t="shared" ca="1" si="24"/>
        <v/>
      </c>
      <c r="H46" s="15" t="str">
        <f t="shared" ca="1" si="25"/>
        <v/>
      </c>
      <c r="I46" s="19" t="str">
        <f t="shared" ca="1" si="26"/>
        <v/>
      </c>
      <c r="J46" s="20" t="str">
        <f t="shared" ca="1" si="27"/>
        <v/>
      </c>
      <c r="K46" s="17" t="str">
        <f t="shared" ca="1" si="9"/>
        <v>包2</v>
      </c>
    </row>
    <row r="47" spans="1:11" ht="18" customHeight="1" x14ac:dyDescent="0.15">
      <c r="A47" s="10">
        <f ca="1">COUNTIF(K$8:K47,K47)-1</f>
        <v>11</v>
      </c>
      <c r="B47" s="11" t="str">
        <f t="shared" ca="1" si="19"/>
        <v/>
      </c>
      <c r="C47" s="11" t="str">
        <f t="shared" ca="1" si="20"/>
        <v/>
      </c>
      <c r="D47" s="12" t="str">
        <f t="shared" ca="1" si="21"/>
        <v/>
      </c>
      <c r="E47" s="11" t="str">
        <f t="shared" ca="1" si="22"/>
        <v/>
      </c>
      <c r="F47" s="13" t="str">
        <f t="shared" ca="1" si="23"/>
        <v/>
      </c>
      <c r="G47" s="14" t="str">
        <f t="shared" ca="1" si="24"/>
        <v/>
      </c>
      <c r="H47" s="15" t="str">
        <f t="shared" ca="1" si="25"/>
        <v/>
      </c>
      <c r="I47" s="19" t="str">
        <f t="shared" ca="1" si="26"/>
        <v/>
      </c>
      <c r="J47" s="20" t="str">
        <f t="shared" ca="1" si="27"/>
        <v/>
      </c>
      <c r="K47" s="17" t="str">
        <f t="shared" ca="1" si="9"/>
        <v>包2</v>
      </c>
    </row>
    <row r="48" spans="1:11" ht="18" customHeight="1" x14ac:dyDescent="0.15">
      <c r="A48" s="10">
        <f ca="1">COUNTIF(K$8:K48,K48)-1</f>
        <v>12</v>
      </c>
      <c r="B48" s="11" t="str">
        <f t="shared" ca="1" si="19"/>
        <v/>
      </c>
      <c r="C48" s="11" t="str">
        <f t="shared" ca="1" si="20"/>
        <v/>
      </c>
      <c r="D48" s="12" t="str">
        <f t="shared" ca="1" si="21"/>
        <v/>
      </c>
      <c r="E48" s="11" t="str">
        <f t="shared" ca="1" si="22"/>
        <v/>
      </c>
      <c r="F48" s="13" t="str">
        <f t="shared" ca="1" si="23"/>
        <v/>
      </c>
      <c r="G48" s="14" t="str">
        <f t="shared" ca="1" si="24"/>
        <v/>
      </c>
      <c r="H48" s="15" t="str">
        <f t="shared" ca="1" si="25"/>
        <v/>
      </c>
      <c r="I48" s="19" t="str">
        <f t="shared" ca="1" si="26"/>
        <v/>
      </c>
      <c r="J48" s="20" t="str">
        <f t="shared" ca="1" si="27"/>
        <v/>
      </c>
      <c r="K48" s="17" t="str">
        <f t="shared" ca="1" si="9"/>
        <v>包2</v>
      </c>
    </row>
    <row r="49" spans="1:11" ht="11.1" customHeight="1" x14ac:dyDescent="0.15">
      <c r="A49" s="472"/>
      <c r="B49" s="473"/>
      <c r="C49" s="473"/>
      <c r="D49" s="473"/>
      <c r="E49" s="473"/>
      <c r="F49" s="473"/>
      <c r="G49" s="473"/>
      <c r="H49" s="473"/>
      <c r="I49" s="473"/>
      <c r="J49" s="474"/>
      <c r="K49" s="17" t="str">
        <f t="shared" ca="1" si="9"/>
        <v>包2</v>
      </c>
    </row>
    <row r="50" spans="1:11" ht="21" customHeight="1" x14ac:dyDescent="0.15">
      <c r="A50" s="475" t="str">
        <f ca="1">K50&amp;"合计："</f>
        <v>包2合计：</v>
      </c>
      <c r="B50" s="476"/>
      <c r="C50" s="476"/>
      <c r="D50" s="476"/>
      <c r="E50" s="477"/>
      <c r="F50" s="478" t="str">
        <f ca="1">SUM(G36:G49)&amp;"台"</f>
        <v>0台</v>
      </c>
      <c r="G50" s="479"/>
      <c r="H50" s="465">
        <f ca="1">SUM(I36:I49)</f>
        <v>0</v>
      </c>
      <c r="I50" s="465"/>
      <c r="J50" s="465"/>
      <c r="K50" s="17" t="str">
        <f t="shared" ca="1" si="9"/>
        <v>包2</v>
      </c>
    </row>
    <row r="51" spans="1:11" s="1" customFormat="1" ht="24" customHeight="1" x14ac:dyDescent="0.2">
      <c r="A51" s="471" t="s">
        <v>252</v>
      </c>
      <c r="B51" s="471"/>
      <c r="C51" s="8"/>
      <c r="D51" s="9"/>
      <c r="E51" s="8"/>
      <c r="F51" s="9"/>
      <c r="G51" s="9"/>
      <c r="K51" s="17" t="str">
        <f>IF(ISNUMBER(FIND("配电柜",A51)),LEFT(A51,LEN(A51)-3),A51)</f>
        <v>包3</v>
      </c>
    </row>
    <row r="52" spans="1:11" ht="18" customHeight="1" x14ac:dyDescent="0.15">
      <c r="A52" s="10">
        <f ca="1">COUNTIF(K$8:K52,K52)-1</f>
        <v>1</v>
      </c>
      <c r="B52" s="11" t="str">
        <f ca="1">IFERROR(VLOOKUP(A52,INDIRECT("'"&amp;K52&amp;"'!A:I"),3,FALSE),"")</f>
        <v/>
      </c>
      <c r="C52" s="11" t="str">
        <f ca="1">IFERROR(VLOOKUP(A52,INDIRECT("'"&amp;K52&amp;"'!A:I"),4,FALSE),"")</f>
        <v/>
      </c>
      <c r="D52" s="12" t="str">
        <f ca="1">IFERROR(VLOOKUP(A52,INDIRECT("'"&amp;K52&amp;"'!A:I"),5,FALSE),"")</f>
        <v/>
      </c>
      <c r="E52" s="11" t="str">
        <f ca="1">IF(B52="","",IF(VLOOKUP(A52,INDIRECT("'"&amp;K52&amp;"'!A:I"),6,FALSE)="","",IFERROR(VLOOKUP(A52,INDIRECT("'"&amp;K52&amp;"'!A:I"),6,FALSE),"")))</f>
        <v/>
      </c>
      <c r="F52" s="13" t="str">
        <f ca="1">IFERROR(VLOOKUP(A52,INDIRECT("'"&amp;K52&amp;"'!A:I"),7,FALSE),"")</f>
        <v/>
      </c>
      <c r="G52" s="14" t="str">
        <f ca="1">IFERROR(VLOOKUP(A52,INDIRECT("'"&amp;K52&amp;"'!A:I"),8,FALSE),"")</f>
        <v/>
      </c>
      <c r="H52" s="15" t="str">
        <f ca="1">IFERROR(VLOOKUP(A52,INDIRECT("'"&amp;K52&amp;"'!A:I"),9,FALSE),"")</f>
        <v/>
      </c>
      <c r="I52" s="19" t="str">
        <f ca="1">IFERROR(G52*H52,"")</f>
        <v/>
      </c>
      <c r="J52" s="20" t="str">
        <f ca="1">IF(B52="","",IF(VLOOKUP(A52,INDIRECT("'"&amp;K52&amp;"'!A:L"),11,FALSE)="","",IFERROR(VLOOKUP(A52,INDIRECT("'"&amp;K52&amp;"'!A:L"),11,FALSE),"")))</f>
        <v/>
      </c>
      <c r="K52" s="17" t="str">
        <f t="shared" ca="1" si="9"/>
        <v>包3</v>
      </c>
    </row>
    <row r="53" spans="1:11" ht="18" customHeight="1" x14ac:dyDescent="0.15">
      <c r="A53" s="10">
        <f ca="1">COUNTIF(K$8:K53,K53)-1</f>
        <v>2</v>
      </c>
      <c r="B53" s="11" t="str">
        <f ca="1">IFERROR(VLOOKUP(A53,INDIRECT("'"&amp;K53&amp;"'!A:I"),3,FALSE),"")</f>
        <v/>
      </c>
      <c r="C53" s="11" t="str">
        <f ca="1">IFERROR(VLOOKUP(A53,INDIRECT("'"&amp;K53&amp;"'!A:I"),4,FALSE),"")</f>
        <v/>
      </c>
      <c r="D53" s="12" t="str">
        <f ca="1">IFERROR(VLOOKUP(A53,INDIRECT("'"&amp;K53&amp;"'!A:I"),5,FALSE),"")</f>
        <v/>
      </c>
      <c r="E53" s="11" t="str">
        <f ca="1">IF(B53="","",IF(VLOOKUP(A53,INDIRECT("'"&amp;K53&amp;"'!A:I"),6,FALSE)="","",IFERROR(VLOOKUP(A53,INDIRECT("'"&amp;K53&amp;"'!A:I"),6,FALSE),"")))</f>
        <v/>
      </c>
      <c r="F53" s="13" t="str">
        <f ca="1">IFERROR(VLOOKUP(A53,INDIRECT("'"&amp;K53&amp;"'!A:I"),7,FALSE),"")</f>
        <v/>
      </c>
      <c r="G53" s="14" t="str">
        <f ca="1">IFERROR(VLOOKUP(A53,INDIRECT("'"&amp;K53&amp;"'!A:I"),8,FALSE),"")</f>
        <v/>
      </c>
      <c r="H53" s="15" t="str">
        <f ca="1">IFERROR(VLOOKUP(A53,INDIRECT("'"&amp;K53&amp;"'!A:I"),9,FALSE),"")</f>
        <v/>
      </c>
      <c r="I53" s="19" t="str">
        <f ca="1">IFERROR(G53*H53,"")</f>
        <v/>
      </c>
      <c r="J53" s="20" t="str">
        <f ca="1">IF(B53="","",IF(VLOOKUP(A53,INDIRECT("'"&amp;K53&amp;"'!A:L"),11,FALSE)="","",IFERROR(VLOOKUP(A53,INDIRECT("'"&amp;K53&amp;"'!A:L"),11,FALSE),"")))</f>
        <v/>
      </c>
      <c r="K53" s="17" t="str">
        <f t="shared" ca="1" si="9"/>
        <v>包3</v>
      </c>
    </row>
    <row r="54" spans="1:11" ht="18" customHeight="1" x14ac:dyDescent="0.15">
      <c r="A54" s="10">
        <f ca="1">COUNTIF(K$8:K54,K54)-1</f>
        <v>3</v>
      </c>
      <c r="B54" s="11" t="str">
        <f ca="1">IFERROR(VLOOKUP(A54,INDIRECT("'"&amp;K54&amp;"'!A:I"),3,FALSE),"")</f>
        <v/>
      </c>
      <c r="C54" s="11" t="str">
        <f ca="1">IFERROR(VLOOKUP(A54,INDIRECT("'"&amp;K54&amp;"'!A:I"),4,FALSE),"")</f>
        <v/>
      </c>
      <c r="D54" s="12" t="str">
        <f ca="1">IFERROR(VLOOKUP(A54,INDIRECT("'"&amp;K54&amp;"'!A:I"),5,FALSE),"")</f>
        <v/>
      </c>
      <c r="E54" s="11" t="str">
        <f ca="1">IF(B54="","",IF(VLOOKUP(A54,INDIRECT("'"&amp;K54&amp;"'!A:I"),6,FALSE)="","",IFERROR(VLOOKUP(A54,INDIRECT("'"&amp;K54&amp;"'!A:I"),6,FALSE),"")))</f>
        <v/>
      </c>
      <c r="F54" s="13" t="str">
        <f ca="1">IFERROR(VLOOKUP(A54,INDIRECT("'"&amp;K54&amp;"'!A:I"),7,FALSE),"")</f>
        <v/>
      </c>
      <c r="G54" s="14" t="str">
        <f ca="1">IFERROR(VLOOKUP(A54,INDIRECT("'"&amp;K54&amp;"'!A:I"),8,FALSE),"")</f>
        <v/>
      </c>
      <c r="H54" s="15" t="str">
        <f ca="1">IFERROR(VLOOKUP(A54,INDIRECT("'"&amp;K54&amp;"'!A:I"),9,FALSE),"")</f>
        <v/>
      </c>
      <c r="I54" s="19" t="str">
        <f ca="1">IFERROR(G54*H54,"")</f>
        <v/>
      </c>
      <c r="J54" s="20" t="str">
        <f ca="1">IF(B54="","",IF(VLOOKUP(A54,INDIRECT("'"&amp;K54&amp;"'!A:L"),11,FALSE)="","",IFERROR(VLOOKUP(A54,INDIRECT("'"&amp;K54&amp;"'!A:L"),11,FALSE),"")))</f>
        <v/>
      </c>
      <c r="K54" s="17" t="str">
        <f t="shared" ca="1" si="9"/>
        <v>包3</v>
      </c>
    </row>
    <row r="55" spans="1:11" ht="18" customHeight="1" x14ac:dyDescent="0.15">
      <c r="A55" s="10">
        <f ca="1">COUNTIF(K$8:K55,K55)-1</f>
        <v>4</v>
      </c>
      <c r="B55" s="11" t="str">
        <f ca="1">IFERROR(VLOOKUP(A55,INDIRECT("'"&amp;K55&amp;"'!A:I"),3,FALSE),"")</f>
        <v/>
      </c>
      <c r="C55" s="11" t="str">
        <f ca="1">IFERROR(VLOOKUP(A55,INDIRECT("'"&amp;K55&amp;"'!A:I"),4,FALSE),"")</f>
        <v/>
      </c>
      <c r="D55" s="12" t="str">
        <f ca="1">IFERROR(VLOOKUP(A55,INDIRECT("'"&amp;K55&amp;"'!A:I"),5,FALSE),"")</f>
        <v/>
      </c>
      <c r="E55" s="11" t="str">
        <f ca="1">IF(B55="","",IF(VLOOKUP(A55,INDIRECT("'"&amp;K55&amp;"'!A:I"),6,FALSE)="","",IFERROR(VLOOKUP(A55,INDIRECT("'"&amp;K55&amp;"'!A:I"),6,FALSE),"")))</f>
        <v/>
      </c>
      <c r="F55" s="13" t="str">
        <f ca="1">IFERROR(VLOOKUP(A55,INDIRECT("'"&amp;K55&amp;"'!A:I"),7,FALSE),"")</f>
        <v/>
      </c>
      <c r="G55" s="14" t="str">
        <f ca="1">IFERROR(VLOOKUP(A55,INDIRECT("'"&amp;K55&amp;"'!A:I"),8,FALSE),"")</f>
        <v/>
      </c>
      <c r="H55" s="15" t="str">
        <f ca="1">IFERROR(VLOOKUP(A55,INDIRECT("'"&amp;K55&amp;"'!A:I"),9,FALSE),"")</f>
        <v/>
      </c>
      <c r="I55" s="19" t="str">
        <f ca="1">IFERROR(G55*H55,"")</f>
        <v/>
      </c>
      <c r="J55" s="20" t="str">
        <f ca="1">IF(B55="","",IF(VLOOKUP(A55,INDIRECT("'"&amp;K55&amp;"'!A:L"),11,FALSE)="","",IFERROR(VLOOKUP(A55,INDIRECT("'"&amp;K55&amp;"'!A:L"),11,FALSE),"")))</f>
        <v/>
      </c>
      <c r="K55" s="17" t="str">
        <f t="shared" ca="1" si="9"/>
        <v>包3</v>
      </c>
    </row>
    <row r="56" spans="1:11" ht="18" customHeight="1" x14ac:dyDescent="0.15">
      <c r="A56" s="10">
        <f ca="1">COUNTIF(K$8:K56,K56)-1</f>
        <v>5</v>
      </c>
      <c r="B56" s="11" t="str">
        <f ca="1">IFERROR(VLOOKUP(A56,INDIRECT("'"&amp;K56&amp;"'!A:I"),3,FALSE),"")</f>
        <v/>
      </c>
      <c r="C56" s="11" t="str">
        <f ca="1">IFERROR(VLOOKUP(A56,INDIRECT("'"&amp;K56&amp;"'!A:I"),4,FALSE),"")</f>
        <v/>
      </c>
      <c r="D56" s="12" t="str">
        <f ca="1">IFERROR(VLOOKUP(A56,INDIRECT("'"&amp;K56&amp;"'!A:I"),5,FALSE),"")</f>
        <v/>
      </c>
      <c r="E56" s="11" t="str">
        <f ca="1">IF(B56="","",IF(VLOOKUP(A56,INDIRECT("'"&amp;K56&amp;"'!A:I"),6,FALSE)="","",IFERROR(VLOOKUP(A56,INDIRECT("'"&amp;K56&amp;"'!A:I"),6,FALSE),"")))</f>
        <v/>
      </c>
      <c r="F56" s="13" t="str">
        <f ca="1">IFERROR(VLOOKUP(A56,INDIRECT("'"&amp;K56&amp;"'!A:I"),7,FALSE),"")</f>
        <v/>
      </c>
      <c r="G56" s="14" t="str">
        <f ca="1">IFERROR(VLOOKUP(A56,INDIRECT("'"&amp;K56&amp;"'!A:I"),8,FALSE),"")</f>
        <v/>
      </c>
      <c r="H56" s="15" t="str">
        <f ca="1">IFERROR(VLOOKUP(A56,INDIRECT("'"&amp;K56&amp;"'!A:I"),9,FALSE),"")</f>
        <v/>
      </c>
      <c r="I56" s="19" t="str">
        <f ca="1">IFERROR(G56*H56,"")</f>
        <v/>
      </c>
      <c r="J56" s="20" t="str">
        <f ca="1">IF(B56="","",IF(VLOOKUP(A56,INDIRECT("'"&amp;K56&amp;"'!A:L"),11,FALSE)="","",IFERROR(VLOOKUP(A56,INDIRECT("'"&amp;K56&amp;"'!A:L"),11,FALSE),"")))</f>
        <v/>
      </c>
      <c r="K56" s="17" t="str">
        <f t="shared" ca="1" si="9"/>
        <v>包3</v>
      </c>
    </row>
    <row r="57" spans="1:11" ht="18" customHeight="1" x14ac:dyDescent="0.15">
      <c r="A57" s="10">
        <f ca="1">COUNTIF(K$8:K57,K57)-1</f>
        <v>6</v>
      </c>
      <c r="B57" s="11" t="str">
        <f t="shared" ref="B57:B63" ca="1" si="28">IFERROR(VLOOKUP(A57,INDIRECT("'"&amp;K57&amp;"'!A:I"),3,FALSE),"")</f>
        <v/>
      </c>
      <c r="C57" s="11" t="str">
        <f t="shared" ref="C57:C63" ca="1" si="29">IFERROR(VLOOKUP(A57,INDIRECT("'"&amp;K57&amp;"'!A:I"),4,FALSE),"")</f>
        <v/>
      </c>
      <c r="D57" s="12" t="str">
        <f t="shared" ref="D57:D63" ca="1" si="30">IFERROR(VLOOKUP(A57,INDIRECT("'"&amp;K57&amp;"'!A:I"),5,FALSE),"")</f>
        <v/>
      </c>
      <c r="E57" s="11" t="str">
        <f t="shared" ref="E57:E63" ca="1" si="31">IF(B57="","",IF(VLOOKUP(A57,INDIRECT("'"&amp;K57&amp;"'!A:I"),6,FALSE)="","",IFERROR(VLOOKUP(A57,INDIRECT("'"&amp;K57&amp;"'!A:I"),6,FALSE),"")))</f>
        <v/>
      </c>
      <c r="F57" s="13" t="str">
        <f t="shared" ref="F57:F63" ca="1" si="32">IFERROR(VLOOKUP(A57,INDIRECT("'"&amp;K57&amp;"'!A:I"),7,FALSE),"")</f>
        <v/>
      </c>
      <c r="G57" s="14" t="str">
        <f t="shared" ref="G57:G63" ca="1" si="33">IFERROR(VLOOKUP(A57,INDIRECT("'"&amp;K57&amp;"'!A:I"),8,FALSE),"")</f>
        <v/>
      </c>
      <c r="H57" s="15" t="str">
        <f t="shared" ref="H57:H63" ca="1" si="34">IFERROR(VLOOKUP(A57,INDIRECT("'"&amp;K57&amp;"'!A:I"),9,FALSE),"")</f>
        <v/>
      </c>
      <c r="I57" s="19" t="str">
        <f t="shared" ref="I57:I63" ca="1" si="35">IFERROR(G57*H57,"")</f>
        <v/>
      </c>
      <c r="J57" s="20" t="str">
        <f t="shared" ref="J57:J63" ca="1" si="36">IF(B57="","",IF(VLOOKUP(A57,INDIRECT("'"&amp;K57&amp;"'!A:L"),11,FALSE)="","",IFERROR(VLOOKUP(A57,INDIRECT("'"&amp;K57&amp;"'!A:L"),11,FALSE),"")))</f>
        <v/>
      </c>
      <c r="K57" s="17" t="str">
        <f t="shared" ca="1" si="9"/>
        <v>包3</v>
      </c>
    </row>
    <row r="58" spans="1:11" ht="18" customHeight="1" x14ac:dyDescent="0.15">
      <c r="A58" s="10">
        <f ca="1">COUNTIF(K$8:K58,K58)-1</f>
        <v>7</v>
      </c>
      <c r="B58" s="11" t="str">
        <f t="shared" ca="1" si="28"/>
        <v/>
      </c>
      <c r="C58" s="11" t="str">
        <f t="shared" ca="1" si="29"/>
        <v/>
      </c>
      <c r="D58" s="12" t="str">
        <f t="shared" ca="1" si="30"/>
        <v/>
      </c>
      <c r="E58" s="11" t="str">
        <f t="shared" ca="1" si="31"/>
        <v/>
      </c>
      <c r="F58" s="13" t="str">
        <f t="shared" ca="1" si="32"/>
        <v/>
      </c>
      <c r="G58" s="14" t="str">
        <f t="shared" ca="1" si="33"/>
        <v/>
      </c>
      <c r="H58" s="15" t="str">
        <f t="shared" ca="1" si="34"/>
        <v/>
      </c>
      <c r="I58" s="19" t="str">
        <f t="shared" ca="1" si="35"/>
        <v/>
      </c>
      <c r="J58" s="20" t="str">
        <f t="shared" ca="1" si="36"/>
        <v/>
      </c>
      <c r="K58" s="17" t="str">
        <f t="shared" ca="1" si="9"/>
        <v>包3</v>
      </c>
    </row>
    <row r="59" spans="1:11" ht="18" customHeight="1" x14ac:dyDescent="0.15">
      <c r="A59" s="10">
        <f ca="1">COUNTIF(K$8:K59,K59)-1</f>
        <v>8</v>
      </c>
      <c r="B59" s="11" t="str">
        <f t="shared" ca="1" si="28"/>
        <v/>
      </c>
      <c r="C59" s="11" t="str">
        <f t="shared" ca="1" si="29"/>
        <v/>
      </c>
      <c r="D59" s="12" t="str">
        <f t="shared" ca="1" si="30"/>
        <v/>
      </c>
      <c r="E59" s="11" t="str">
        <f t="shared" ca="1" si="31"/>
        <v/>
      </c>
      <c r="F59" s="13" t="str">
        <f t="shared" ca="1" si="32"/>
        <v/>
      </c>
      <c r="G59" s="14" t="str">
        <f t="shared" ca="1" si="33"/>
        <v/>
      </c>
      <c r="H59" s="15" t="str">
        <f t="shared" ca="1" si="34"/>
        <v/>
      </c>
      <c r="I59" s="19" t="str">
        <f t="shared" ca="1" si="35"/>
        <v/>
      </c>
      <c r="J59" s="20" t="str">
        <f t="shared" ca="1" si="36"/>
        <v/>
      </c>
      <c r="K59" s="17" t="str">
        <f t="shared" ca="1" si="9"/>
        <v>包3</v>
      </c>
    </row>
    <row r="60" spans="1:11" ht="18" customHeight="1" x14ac:dyDescent="0.15">
      <c r="A60" s="10">
        <f ca="1">COUNTIF(K$8:K60,K60)-1</f>
        <v>9</v>
      </c>
      <c r="B60" s="11" t="str">
        <f t="shared" ca="1" si="28"/>
        <v/>
      </c>
      <c r="C60" s="11" t="str">
        <f t="shared" ca="1" si="29"/>
        <v/>
      </c>
      <c r="D60" s="12" t="str">
        <f t="shared" ca="1" si="30"/>
        <v/>
      </c>
      <c r="E60" s="11" t="str">
        <f t="shared" ca="1" si="31"/>
        <v/>
      </c>
      <c r="F60" s="13" t="str">
        <f t="shared" ca="1" si="32"/>
        <v/>
      </c>
      <c r="G60" s="14" t="str">
        <f t="shared" ca="1" si="33"/>
        <v/>
      </c>
      <c r="H60" s="15" t="str">
        <f t="shared" ca="1" si="34"/>
        <v/>
      </c>
      <c r="I60" s="19" t="str">
        <f t="shared" ca="1" si="35"/>
        <v/>
      </c>
      <c r="J60" s="20" t="str">
        <f t="shared" ca="1" si="36"/>
        <v/>
      </c>
      <c r="K60" s="17" t="str">
        <f t="shared" ca="1" si="9"/>
        <v>包3</v>
      </c>
    </row>
    <row r="61" spans="1:11" ht="18" customHeight="1" x14ac:dyDescent="0.15">
      <c r="A61" s="10">
        <f ca="1">COUNTIF(K$8:K61,K61)-1</f>
        <v>10</v>
      </c>
      <c r="B61" s="11" t="str">
        <f t="shared" ca="1" si="28"/>
        <v/>
      </c>
      <c r="C61" s="11" t="str">
        <f t="shared" ca="1" si="29"/>
        <v/>
      </c>
      <c r="D61" s="12" t="str">
        <f t="shared" ca="1" si="30"/>
        <v/>
      </c>
      <c r="E61" s="11" t="str">
        <f t="shared" ca="1" si="31"/>
        <v/>
      </c>
      <c r="F61" s="13" t="str">
        <f t="shared" ca="1" si="32"/>
        <v/>
      </c>
      <c r="G61" s="14" t="str">
        <f t="shared" ca="1" si="33"/>
        <v/>
      </c>
      <c r="H61" s="15" t="str">
        <f t="shared" ca="1" si="34"/>
        <v/>
      </c>
      <c r="I61" s="19" t="str">
        <f t="shared" ca="1" si="35"/>
        <v/>
      </c>
      <c r="J61" s="20" t="str">
        <f t="shared" ca="1" si="36"/>
        <v/>
      </c>
      <c r="K61" s="17" t="str">
        <f t="shared" ca="1" si="9"/>
        <v>包3</v>
      </c>
    </row>
    <row r="62" spans="1:11" ht="18" customHeight="1" x14ac:dyDescent="0.15">
      <c r="A62" s="10">
        <f ca="1">COUNTIF(K$8:K62,K62)-1</f>
        <v>11</v>
      </c>
      <c r="B62" s="11" t="str">
        <f t="shared" ca="1" si="28"/>
        <v/>
      </c>
      <c r="C62" s="11" t="str">
        <f t="shared" ca="1" si="29"/>
        <v/>
      </c>
      <c r="D62" s="12" t="str">
        <f t="shared" ca="1" si="30"/>
        <v/>
      </c>
      <c r="E62" s="11" t="str">
        <f t="shared" ca="1" si="31"/>
        <v/>
      </c>
      <c r="F62" s="13" t="str">
        <f t="shared" ca="1" si="32"/>
        <v/>
      </c>
      <c r="G62" s="14" t="str">
        <f t="shared" ca="1" si="33"/>
        <v/>
      </c>
      <c r="H62" s="15" t="str">
        <f t="shared" ca="1" si="34"/>
        <v/>
      </c>
      <c r="I62" s="19" t="str">
        <f t="shared" ca="1" si="35"/>
        <v/>
      </c>
      <c r="J62" s="20" t="str">
        <f t="shared" ca="1" si="36"/>
        <v/>
      </c>
      <c r="K62" s="17" t="str">
        <f t="shared" ca="1" si="9"/>
        <v>包3</v>
      </c>
    </row>
    <row r="63" spans="1:11" ht="18" customHeight="1" x14ac:dyDescent="0.15">
      <c r="A63" s="10">
        <f ca="1">COUNTIF(K$8:K63,K63)-1</f>
        <v>12</v>
      </c>
      <c r="B63" s="11" t="str">
        <f t="shared" ca="1" si="28"/>
        <v/>
      </c>
      <c r="C63" s="11" t="str">
        <f t="shared" ca="1" si="29"/>
        <v/>
      </c>
      <c r="D63" s="12" t="str">
        <f t="shared" ca="1" si="30"/>
        <v/>
      </c>
      <c r="E63" s="11" t="str">
        <f t="shared" ca="1" si="31"/>
        <v/>
      </c>
      <c r="F63" s="13" t="str">
        <f t="shared" ca="1" si="32"/>
        <v/>
      </c>
      <c r="G63" s="14" t="str">
        <f t="shared" ca="1" si="33"/>
        <v/>
      </c>
      <c r="H63" s="15" t="str">
        <f t="shared" ca="1" si="34"/>
        <v/>
      </c>
      <c r="I63" s="19" t="str">
        <f t="shared" ca="1" si="35"/>
        <v/>
      </c>
      <c r="J63" s="20" t="str">
        <f t="shared" ca="1" si="36"/>
        <v/>
      </c>
      <c r="K63" s="17" t="str">
        <f t="shared" ca="1" si="9"/>
        <v>包3</v>
      </c>
    </row>
    <row r="64" spans="1:11" ht="11.1" customHeight="1" x14ac:dyDescent="0.15">
      <c r="A64" s="472"/>
      <c r="B64" s="473"/>
      <c r="C64" s="473"/>
      <c r="D64" s="473"/>
      <c r="E64" s="473"/>
      <c r="F64" s="473"/>
      <c r="G64" s="473"/>
      <c r="H64" s="473"/>
      <c r="I64" s="473"/>
      <c r="J64" s="474"/>
      <c r="K64" s="17" t="str">
        <f t="shared" ca="1" si="9"/>
        <v>包3</v>
      </c>
    </row>
    <row r="65" spans="1:11" ht="21" customHeight="1" x14ac:dyDescent="0.15">
      <c r="A65" s="475" t="str">
        <f ca="1">K65&amp;"合计："</f>
        <v>包3合计：</v>
      </c>
      <c r="B65" s="476"/>
      <c r="C65" s="476"/>
      <c r="D65" s="476"/>
      <c r="E65" s="477"/>
      <c r="F65" s="478" t="str">
        <f ca="1">SUM(G51:G64)&amp;"台"</f>
        <v>0台</v>
      </c>
      <c r="G65" s="479"/>
      <c r="H65" s="465">
        <f ca="1">SUM(I51:I64)</f>
        <v>0</v>
      </c>
      <c r="I65" s="465"/>
      <c r="J65" s="465"/>
      <c r="K65" s="17" t="str">
        <f t="shared" ca="1" si="9"/>
        <v>包3</v>
      </c>
    </row>
    <row r="66" spans="1:11" s="1" customFormat="1" ht="24" customHeight="1" x14ac:dyDescent="0.2">
      <c r="A66" s="471" t="s">
        <v>253</v>
      </c>
      <c r="B66" s="471"/>
      <c r="C66" s="8"/>
      <c r="D66" s="9"/>
      <c r="E66" s="8"/>
      <c r="F66" s="9"/>
      <c r="G66" s="9"/>
      <c r="K66" s="17" t="str">
        <f>IF(ISNUMBER(FIND("配电柜",A66)),LEFT(A66,LEN(A66)-3),A66)</f>
        <v>包4</v>
      </c>
    </row>
    <row r="67" spans="1:11" ht="18" customHeight="1" x14ac:dyDescent="0.15">
      <c r="A67" s="10">
        <f ca="1">COUNTIF(K$8:K67,K67)-1</f>
        <v>1</v>
      </c>
      <c r="B67" s="11" t="str">
        <f ca="1">IFERROR(VLOOKUP(A67,INDIRECT("'"&amp;K67&amp;"'!A:I"),3,FALSE),"")</f>
        <v/>
      </c>
      <c r="C67" s="11" t="str">
        <f ca="1">IFERROR(VLOOKUP(A67,INDIRECT("'"&amp;K67&amp;"'!A:I"),4,FALSE),"")</f>
        <v/>
      </c>
      <c r="D67" s="12" t="str">
        <f ca="1">IFERROR(VLOOKUP(A67,INDIRECT("'"&amp;K67&amp;"'!A:I"),5,FALSE),"")</f>
        <v/>
      </c>
      <c r="E67" s="11" t="str">
        <f ca="1">IF(B67="","",IF(VLOOKUP(A67,INDIRECT("'"&amp;K67&amp;"'!A:I"),6,FALSE)="","",IFERROR(VLOOKUP(A67,INDIRECT("'"&amp;K67&amp;"'!A:I"),6,FALSE),"")))</f>
        <v/>
      </c>
      <c r="F67" s="13" t="str">
        <f ca="1">IFERROR(VLOOKUP(A67,INDIRECT("'"&amp;K67&amp;"'!A:I"),7,FALSE),"")</f>
        <v/>
      </c>
      <c r="G67" s="14" t="str">
        <f ca="1">IFERROR(VLOOKUP(A67,INDIRECT("'"&amp;K67&amp;"'!A:I"),8,FALSE),"")</f>
        <v/>
      </c>
      <c r="H67" s="15" t="str">
        <f ca="1">IFERROR(VLOOKUP(A67,INDIRECT("'"&amp;K67&amp;"'!A:I"),9,FALSE),"")</f>
        <v/>
      </c>
      <c r="I67" s="19" t="str">
        <f ca="1">IFERROR(G67*H67,"")</f>
        <v/>
      </c>
      <c r="J67" s="20" t="str">
        <f ca="1">IF(B67="","",IF(VLOOKUP(A67,INDIRECT("'"&amp;K67&amp;"'!A:L"),11,FALSE)="","",IFERROR(VLOOKUP(A67,INDIRECT("'"&amp;K67&amp;"'!A:L"),11,FALSE),"")))</f>
        <v/>
      </c>
      <c r="K67" s="17" t="str">
        <f t="shared" ref="K67:K228" ca="1" si="37">INDIRECT("k"&amp;ROW()-1)</f>
        <v>包4</v>
      </c>
    </row>
    <row r="68" spans="1:11" ht="18" customHeight="1" x14ac:dyDescent="0.15">
      <c r="A68" s="10">
        <f ca="1">COUNTIF(K$8:K68,K68)-1</f>
        <v>2</v>
      </c>
      <c r="B68" s="11" t="str">
        <f ca="1">IFERROR(VLOOKUP(A68,INDIRECT("'"&amp;K68&amp;"'!A:I"),3,FALSE),"")</f>
        <v/>
      </c>
      <c r="C68" s="11" t="str">
        <f ca="1">IFERROR(VLOOKUP(A68,INDIRECT("'"&amp;K68&amp;"'!A:I"),4,FALSE),"")</f>
        <v/>
      </c>
      <c r="D68" s="12" t="str">
        <f ca="1">IFERROR(VLOOKUP(A68,INDIRECT("'"&amp;K68&amp;"'!A:I"),5,FALSE),"")</f>
        <v/>
      </c>
      <c r="E68" s="11" t="str">
        <f ca="1">IF(B68="","",IF(VLOOKUP(A68,INDIRECT("'"&amp;K68&amp;"'!A:I"),6,FALSE)="","",IFERROR(VLOOKUP(A68,INDIRECT("'"&amp;K68&amp;"'!A:I"),6,FALSE),"")))</f>
        <v/>
      </c>
      <c r="F68" s="13" t="str">
        <f ca="1">IFERROR(VLOOKUP(A68,INDIRECT("'"&amp;K68&amp;"'!A:I"),7,FALSE),"")</f>
        <v/>
      </c>
      <c r="G68" s="14" t="str">
        <f ca="1">IFERROR(VLOOKUP(A68,INDIRECT("'"&amp;K68&amp;"'!A:I"),8,FALSE),"")</f>
        <v/>
      </c>
      <c r="H68" s="15" t="str">
        <f ca="1">IFERROR(VLOOKUP(A68,INDIRECT("'"&amp;K68&amp;"'!A:I"),9,FALSE),"")</f>
        <v/>
      </c>
      <c r="I68" s="19" t="str">
        <f ca="1">IFERROR(G68*H68,"")</f>
        <v/>
      </c>
      <c r="J68" s="20" t="str">
        <f ca="1">IF(B68="","",IF(VLOOKUP(A68,INDIRECT("'"&amp;K68&amp;"'!A:L"),11,FALSE)="","",IFERROR(VLOOKUP(A68,INDIRECT("'"&amp;K68&amp;"'!A:L"),11,FALSE),"")))</f>
        <v/>
      </c>
      <c r="K68" s="17" t="str">
        <f t="shared" ca="1" si="37"/>
        <v>包4</v>
      </c>
    </row>
    <row r="69" spans="1:11" ht="18" customHeight="1" x14ac:dyDescent="0.15">
      <c r="A69" s="10">
        <f ca="1">COUNTIF(K$8:K69,K69)-1</f>
        <v>3</v>
      </c>
      <c r="B69" s="11" t="str">
        <f ca="1">IFERROR(VLOOKUP(A69,INDIRECT("'"&amp;K69&amp;"'!A:I"),3,FALSE),"")</f>
        <v/>
      </c>
      <c r="C69" s="11" t="str">
        <f ca="1">IFERROR(VLOOKUP(A69,INDIRECT("'"&amp;K69&amp;"'!A:I"),4,FALSE),"")</f>
        <v/>
      </c>
      <c r="D69" s="12" t="str">
        <f ca="1">IFERROR(VLOOKUP(A69,INDIRECT("'"&amp;K69&amp;"'!A:I"),5,FALSE),"")</f>
        <v/>
      </c>
      <c r="E69" s="11" t="str">
        <f ca="1">IF(B69="","",IF(VLOOKUP(A69,INDIRECT("'"&amp;K69&amp;"'!A:I"),6,FALSE)="","",IFERROR(VLOOKUP(A69,INDIRECT("'"&amp;K69&amp;"'!A:I"),6,FALSE),"")))</f>
        <v/>
      </c>
      <c r="F69" s="13" t="str">
        <f ca="1">IFERROR(VLOOKUP(A69,INDIRECT("'"&amp;K69&amp;"'!A:I"),7,FALSE),"")</f>
        <v/>
      </c>
      <c r="G69" s="14" t="str">
        <f ca="1">IFERROR(VLOOKUP(A69,INDIRECT("'"&amp;K69&amp;"'!A:I"),8,FALSE),"")</f>
        <v/>
      </c>
      <c r="H69" s="15" t="str">
        <f ca="1">IFERROR(VLOOKUP(A69,INDIRECT("'"&amp;K69&amp;"'!A:I"),9,FALSE),"")</f>
        <v/>
      </c>
      <c r="I69" s="19" t="str">
        <f ca="1">IFERROR(G69*H69,"")</f>
        <v/>
      </c>
      <c r="J69" s="20" t="str">
        <f ca="1">IF(B69="","",IF(VLOOKUP(A69,INDIRECT("'"&amp;K69&amp;"'!A:L"),11,FALSE)="","",IFERROR(VLOOKUP(A69,INDIRECT("'"&amp;K69&amp;"'!A:L"),11,FALSE),"")))</f>
        <v/>
      </c>
      <c r="K69" s="17" t="str">
        <f t="shared" ca="1" si="37"/>
        <v>包4</v>
      </c>
    </row>
    <row r="70" spans="1:11" ht="18" customHeight="1" x14ac:dyDescent="0.15">
      <c r="A70" s="10">
        <f ca="1">COUNTIF(K$8:K70,K70)-1</f>
        <v>4</v>
      </c>
      <c r="B70" s="11" t="str">
        <f ca="1">IFERROR(VLOOKUP(A70,INDIRECT("'"&amp;K70&amp;"'!A:I"),3,FALSE),"")</f>
        <v/>
      </c>
      <c r="C70" s="11" t="str">
        <f ca="1">IFERROR(VLOOKUP(A70,INDIRECT("'"&amp;K70&amp;"'!A:I"),4,FALSE),"")</f>
        <v/>
      </c>
      <c r="D70" s="12" t="str">
        <f ca="1">IFERROR(VLOOKUP(A70,INDIRECT("'"&amp;K70&amp;"'!A:I"),5,FALSE),"")</f>
        <v/>
      </c>
      <c r="E70" s="11" t="str">
        <f ca="1">IF(B70="","",IF(VLOOKUP(A70,INDIRECT("'"&amp;K70&amp;"'!A:I"),6,FALSE)="","",IFERROR(VLOOKUP(A70,INDIRECT("'"&amp;K70&amp;"'!A:I"),6,FALSE),"")))</f>
        <v/>
      </c>
      <c r="F70" s="13" t="str">
        <f ca="1">IFERROR(VLOOKUP(A70,INDIRECT("'"&amp;K70&amp;"'!A:I"),7,FALSE),"")</f>
        <v/>
      </c>
      <c r="G70" s="14" t="str">
        <f ca="1">IFERROR(VLOOKUP(A70,INDIRECT("'"&amp;K70&amp;"'!A:I"),8,FALSE),"")</f>
        <v/>
      </c>
      <c r="H70" s="15" t="str">
        <f ca="1">IFERROR(VLOOKUP(A70,INDIRECT("'"&amp;K70&amp;"'!A:I"),9,FALSE),"")</f>
        <v/>
      </c>
      <c r="I70" s="19" t="str">
        <f ca="1">IFERROR(G70*H70,"")</f>
        <v/>
      </c>
      <c r="J70" s="20" t="str">
        <f ca="1">IF(B70="","",IF(VLOOKUP(A70,INDIRECT("'"&amp;K70&amp;"'!A:L"),11,FALSE)="","",IFERROR(VLOOKUP(A70,INDIRECT("'"&amp;K70&amp;"'!A:L"),11,FALSE),"")))</f>
        <v/>
      </c>
      <c r="K70" s="17" t="str">
        <f t="shared" ca="1" si="37"/>
        <v>包4</v>
      </c>
    </row>
    <row r="71" spans="1:11" ht="18" customHeight="1" x14ac:dyDescent="0.15">
      <c r="A71" s="10">
        <f ca="1">COUNTIF(K$8:K71,K71)-1</f>
        <v>5</v>
      </c>
      <c r="B71" s="11" t="str">
        <f ca="1">IFERROR(VLOOKUP(A71,INDIRECT("'"&amp;K71&amp;"'!A:I"),3,FALSE),"")</f>
        <v/>
      </c>
      <c r="C71" s="11" t="str">
        <f ca="1">IFERROR(VLOOKUP(A71,INDIRECT("'"&amp;K71&amp;"'!A:I"),4,FALSE),"")</f>
        <v/>
      </c>
      <c r="D71" s="12" t="str">
        <f ca="1">IFERROR(VLOOKUP(A71,INDIRECT("'"&amp;K71&amp;"'!A:I"),5,FALSE),"")</f>
        <v/>
      </c>
      <c r="E71" s="11" t="str">
        <f ca="1">IF(B71="","",IF(VLOOKUP(A71,INDIRECT("'"&amp;K71&amp;"'!A:I"),6,FALSE)="","",IFERROR(VLOOKUP(A71,INDIRECT("'"&amp;K71&amp;"'!A:I"),6,FALSE),"")))</f>
        <v/>
      </c>
      <c r="F71" s="13" t="str">
        <f ca="1">IFERROR(VLOOKUP(A71,INDIRECT("'"&amp;K71&amp;"'!A:I"),7,FALSE),"")</f>
        <v/>
      </c>
      <c r="G71" s="14" t="str">
        <f ca="1">IFERROR(VLOOKUP(A71,INDIRECT("'"&amp;K71&amp;"'!A:I"),8,FALSE),"")</f>
        <v/>
      </c>
      <c r="H71" s="15" t="str">
        <f ca="1">IFERROR(VLOOKUP(A71,INDIRECT("'"&amp;K71&amp;"'!A:I"),9,FALSE),"")</f>
        <v/>
      </c>
      <c r="I71" s="19" t="str">
        <f ca="1">IFERROR(G71*H71,"")</f>
        <v/>
      </c>
      <c r="J71" s="20" t="str">
        <f ca="1">IF(B71="","",IF(VLOOKUP(A71,INDIRECT("'"&amp;K71&amp;"'!A:L"),11,FALSE)="","",IFERROR(VLOOKUP(A71,INDIRECT("'"&amp;K71&amp;"'!A:L"),11,FALSE),"")))</f>
        <v/>
      </c>
      <c r="K71" s="17" t="str">
        <f t="shared" ca="1" si="37"/>
        <v>包4</v>
      </c>
    </row>
    <row r="72" spans="1:11" ht="18" customHeight="1" x14ac:dyDescent="0.15">
      <c r="A72" s="10">
        <f ca="1">COUNTIF(K$8:K72,K72)-1</f>
        <v>6</v>
      </c>
      <c r="B72" s="11" t="str">
        <f t="shared" ref="B72:B79" ca="1" si="38">IFERROR(VLOOKUP(A72,INDIRECT("'"&amp;K72&amp;"'!A:I"),3,FALSE),"")</f>
        <v/>
      </c>
      <c r="C72" s="11" t="str">
        <f t="shared" ref="C72:C79" ca="1" si="39">IFERROR(VLOOKUP(A72,INDIRECT("'"&amp;K72&amp;"'!A:I"),4,FALSE),"")</f>
        <v/>
      </c>
      <c r="D72" s="12" t="str">
        <f t="shared" ref="D72:D79" ca="1" si="40">IFERROR(VLOOKUP(A72,INDIRECT("'"&amp;K72&amp;"'!A:I"),5,FALSE),"")</f>
        <v/>
      </c>
      <c r="E72" s="11" t="str">
        <f t="shared" ref="E72:E79" ca="1" si="41">IF(B72="","",IF(VLOOKUP(A72,INDIRECT("'"&amp;K72&amp;"'!A:I"),6,FALSE)="","",IFERROR(VLOOKUP(A72,INDIRECT("'"&amp;K72&amp;"'!A:I"),6,FALSE),"")))</f>
        <v/>
      </c>
      <c r="F72" s="13" t="str">
        <f t="shared" ref="F72:F79" ca="1" si="42">IFERROR(VLOOKUP(A72,INDIRECT("'"&amp;K72&amp;"'!A:I"),7,FALSE),"")</f>
        <v/>
      </c>
      <c r="G72" s="14" t="str">
        <f t="shared" ref="G72:G79" ca="1" si="43">IFERROR(VLOOKUP(A72,INDIRECT("'"&amp;K72&amp;"'!A:I"),8,FALSE),"")</f>
        <v/>
      </c>
      <c r="H72" s="15" t="str">
        <f t="shared" ref="H72:H79" ca="1" si="44">IFERROR(VLOOKUP(A72,INDIRECT("'"&amp;K72&amp;"'!A:I"),9,FALSE),"")</f>
        <v/>
      </c>
      <c r="I72" s="19" t="str">
        <f t="shared" ref="I72:I79" ca="1" si="45">IFERROR(G72*H72,"")</f>
        <v/>
      </c>
      <c r="J72" s="20" t="str">
        <f t="shared" ref="J72:J79" ca="1" si="46">IF(B72="","",IF(VLOOKUP(A72,INDIRECT("'"&amp;K72&amp;"'!A:L"),11,FALSE)="","",IFERROR(VLOOKUP(A72,INDIRECT("'"&amp;K72&amp;"'!A:L"),11,FALSE),"")))</f>
        <v/>
      </c>
      <c r="K72" s="17" t="str">
        <f t="shared" ca="1" si="37"/>
        <v>包4</v>
      </c>
    </row>
    <row r="73" spans="1:11" ht="18" customHeight="1" x14ac:dyDescent="0.15">
      <c r="A73" s="10">
        <f ca="1">COUNTIF(K$8:K73,K73)-1</f>
        <v>7</v>
      </c>
      <c r="B73" s="11" t="str">
        <f t="shared" ca="1" si="38"/>
        <v/>
      </c>
      <c r="C73" s="11" t="str">
        <f t="shared" ca="1" si="39"/>
        <v/>
      </c>
      <c r="D73" s="12" t="str">
        <f t="shared" ca="1" si="40"/>
        <v/>
      </c>
      <c r="E73" s="11" t="str">
        <f t="shared" ca="1" si="41"/>
        <v/>
      </c>
      <c r="F73" s="13" t="str">
        <f t="shared" ca="1" si="42"/>
        <v/>
      </c>
      <c r="G73" s="14" t="str">
        <f t="shared" ca="1" si="43"/>
        <v/>
      </c>
      <c r="H73" s="15" t="str">
        <f t="shared" ca="1" si="44"/>
        <v/>
      </c>
      <c r="I73" s="19" t="str">
        <f t="shared" ca="1" si="45"/>
        <v/>
      </c>
      <c r="J73" s="20" t="str">
        <f t="shared" ca="1" si="46"/>
        <v/>
      </c>
      <c r="K73" s="17" t="str">
        <f t="shared" ca="1" si="37"/>
        <v>包4</v>
      </c>
    </row>
    <row r="74" spans="1:11" ht="18" customHeight="1" x14ac:dyDescent="0.15">
      <c r="A74" s="10">
        <f ca="1">COUNTIF(K$8:K74,K74)-1</f>
        <v>8</v>
      </c>
      <c r="B74" s="11" t="str">
        <f t="shared" ca="1" si="38"/>
        <v/>
      </c>
      <c r="C74" s="11" t="str">
        <f t="shared" ca="1" si="39"/>
        <v/>
      </c>
      <c r="D74" s="12" t="str">
        <f t="shared" ca="1" si="40"/>
        <v/>
      </c>
      <c r="E74" s="11" t="str">
        <f t="shared" ca="1" si="41"/>
        <v/>
      </c>
      <c r="F74" s="13" t="str">
        <f t="shared" ca="1" si="42"/>
        <v/>
      </c>
      <c r="G74" s="14" t="str">
        <f t="shared" ca="1" si="43"/>
        <v/>
      </c>
      <c r="H74" s="15" t="str">
        <f t="shared" ca="1" si="44"/>
        <v/>
      </c>
      <c r="I74" s="19" t="str">
        <f t="shared" ca="1" si="45"/>
        <v/>
      </c>
      <c r="J74" s="20" t="str">
        <f t="shared" ca="1" si="46"/>
        <v/>
      </c>
      <c r="K74" s="17" t="str">
        <f t="shared" ca="1" si="37"/>
        <v>包4</v>
      </c>
    </row>
    <row r="75" spans="1:11" ht="18" customHeight="1" x14ac:dyDescent="0.15">
      <c r="A75" s="10">
        <f ca="1">COUNTIF(K$8:K75,K75)-1</f>
        <v>9</v>
      </c>
      <c r="B75" s="11" t="str">
        <f t="shared" ca="1" si="38"/>
        <v/>
      </c>
      <c r="C75" s="11" t="str">
        <f t="shared" ca="1" si="39"/>
        <v/>
      </c>
      <c r="D75" s="12" t="str">
        <f t="shared" ca="1" si="40"/>
        <v/>
      </c>
      <c r="E75" s="11" t="str">
        <f t="shared" ca="1" si="41"/>
        <v/>
      </c>
      <c r="F75" s="13" t="str">
        <f t="shared" ca="1" si="42"/>
        <v/>
      </c>
      <c r="G75" s="14" t="str">
        <f t="shared" ca="1" si="43"/>
        <v/>
      </c>
      <c r="H75" s="15" t="str">
        <f t="shared" ca="1" si="44"/>
        <v/>
      </c>
      <c r="I75" s="19" t="str">
        <f t="shared" ca="1" si="45"/>
        <v/>
      </c>
      <c r="J75" s="20" t="str">
        <f t="shared" ca="1" si="46"/>
        <v/>
      </c>
      <c r="K75" s="17" t="str">
        <f t="shared" ca="1" si="37"/>
        <v>包4</v>
      </c>
    </row>
    <row r="76" spans="1:11" ht="18" customHeight="1" x14ac:dyDescent="0.15">
      <c r="A76" s="10">
        <f ca="1">COUNTIF(K$8:K76,K76)-1</f>
        <v>10</v>
      </c>
      <c r="B76" s="11" t="str">
        <f t="shared" ca="1" si="38"/>
        <v/>
      </c>
      <c r="C76" s="11" t="str">
        <f t="shared" ca="1" si="39"/>
        <v/>
      </c>
      <c r="D76" s="12" t="str">
        <f t="shared" ca="1" si="40"/>
        <v/>
      </c>
      <c r="E76" s="11" t="str">
        <f t="shared" ca="1" si="41"/>
        <v/>
      </c>
      <c r="F76" s="13" t="str">
        <f t="shared" ca="1" si="42"/>
        <v/>
      </c>
      <c r="G76" s="14" t="str">
        <f t="shared" ca="1" si="43"/>
        <v/>
      </c>
      <c r="H76" s="15" t="str">
        <f t="shared" ca="1" si="44"/>
        <v/>
      </c>
      <c r="I76" s="19" t="str">
        <f t="shared" ca="1" si="45"/>
        <v/>
      </c>
      <c r="J76" s="20" t="str">
        <f t="shared" ca="1" si="46"/>
        <v/>
      </c>
      <c r="K76" s="17" t="str">
        <f t="shared" ca="1" si="37"/>
        <v>包4</v>
      </c>
    </row>
    <row r="77" spans="1:11" ht="18" customHeight="1" x14ac:dyDescent="0.15">
      <c r="A77" s="10">
        <f ca="1">COUNTIF(K$8:K77,K77)-1</f>
        <v>11</v>
      </c>
      <c r="B77" s="11" t="str">
        <f t="shared" ca="1" si="38"/>
        <v/>
      </c>
      <c r="C77" s="11" t="str">
        <f t="shared" ca="1" si="39"/>
        <v/>
      </c>
      <c r="D77" s="12" t="str">
        <f t="shared" ca="1" si="40"/>
        <v/>
      </c>
      <c r="E77" s="11" t="str">
        <f t="shared" ca="1" si="41"/>
        <v/>
      </c>
      <c r="F77" s="13" t="str">
        <f t="shared" ca="1" si="42"/>
        <v/>
      </c>
      <c r="G77" s="14" t="str">
        <f t="shared" ca="1" si="43"/>
        <v/>
      </c>
      <c r="H77" s="15" t="str">
        <f t="shared" ca="1" si="44"/>
        <v/>
      </c>
      <c r="I77" s="19" t="str">
        <f t="shared" ca="1" si="45"/>
        <v/>
      </c>
      <c r="J77" s="20" t="str">
        <f t="shared" ca="1" si="46"/>
        <v/>
      </c>
      <c r="K77" s="17" t="str">
        <f t="shared" ca="1" si="37"/>
        <v>包4</v>
      </c>
    </row>
    <row r="78" spans="1:11" ht="18" customHeight="1" x14ac:dyDescent="0.15">
      <c r="A78" s="10">
        <f ca="1">COUNTIF(K$8:K78,K78)-1</f>
        <v>12</v>
      </c>
      <c r="B78" s="11" t="str">
        <f t="shared" ca="1" si="38"/>
        <v/>
      </c>
      <c r="C78" s="11" t="str">
        <f t="shared" ca="1" si="39"/>
        <v/>
      </c>
      <c r="D78" s="12" t="str">
        <f t="shared" ca="1" si="40"/>
        <v/>
      </c>
      <c r="E78" s="11" t="str">
        <f t="shared" ca="1" si="41"/>
        <v/>
      </c>
      <c r="F78" s="13" t="str">
        <f t="shared" ca="1" si="42"/>
        <v/>
      </c>
      <c r="G78" s="14" t="str">
        <f t="shared" ca="1" si="43"/>
        <v/>
      </c>
      <c r="H78" s="15" t="str">
        <f t="shared" ca="1" si="44"/>
        <v/>
      </c>
      <c r="I78" s="19" t="str">
        <f t="shared" ca="1" si="45"/>
        <v/>
      </c>
      <c r="J78" s="20" t="str">
        <f t="shared" ca="1" si="46"/>
        <v/>
      </c>
      <c r="K78" s="17" t="str">
        <f t="shared" ca="1" si="37"/>
        <v>包4</v>
      </c>
    </row>
    <row r="79" spans="1:11" ht="18" customHeight="1" x14ac:dyDescent="0.15">
      <c r="A79" s="10">
        <f ca="1">COUNTIF(K$8:K79,K79)-1</f>
        <v>13</v>
      </c>
      <c r="B79" s="11" t="str">
        <f t="shared" ca="1" si="38"/>
        <v/>
      </c>
      <c r="C79" s="11" t="str">
        <f t="shared" ca="1" si="39"/>
        <v/>
      </c>
      <c r="D79" s="12" t="str">
        <f t="shared" ca="1" si="40"/>
        <v/>
      </c>
      <c r="E79" s="11" t="str">
        <f t="shared" ca="1" si="41"/>
        <v/>
      </c>
      <c r="F79" s="13" t="str">
        <f t="shared" ca="1" si="42"/>
        <v/>
      </c>
      <c r="G79" s="14" t="str">
        <f t="shared" ca="1" si="43"/>
        <v/>
      </c>
      <c r="H79" s="15" t="str">
        <f t="shared" ca="1" si="44"/>
        <v/>
      </c>
      <c r="I79" s="19" t="str">
        <f t="shared" ca="1" si="45"/>
        <v/>
      </c>
      <c r="J79" s="20" t="str">
        <f t="shared" ca="1" si="46"/>
        <v/>
      </c>
      <c r="K79" s="17" t="str">
        <f t="shared" ca="1" si="37"/>
        <v>包4</v>
      </c>
    </row>
    <row r="80" spans="1:11" ht="18" customHeight="1" x14ac:dyDescent="0.15">
      <c r="A80" s="10">
        <f ca="1">COUNTIF(K$8:K80,K80)-1</f>
        <v>14</v>
      </c>
      <c r="B80" s="11" t="str">
        <f ca="1">IFERROR(VLOOKUP(A80,INDIRECT("'"&amp;K80&amp;"'!A:I"),3,FALSE),"")</f>
        <v/>
      </c>
      <c r="C80" s="11" t="str">
        <f ca="1">IFERROR(VLOOKUP(A80,INDIRECT("'"&amp;K80&amp;"'!A:I"),4,FALSE),"")</f>
        <v/>
      </c>
      <c r="D80" s="12" t="str">
        <f ca="1">IFERROR(VLOOKUP(A80,INDIRECT("'"&amp;K80&amp;"'!A:I"),5,FALSE),"")</f>
        <v/>
      </c>
      <c r="E80" s="11" t="str">
        <f ca="1">IF(B80="","",IF(VLOOKUP(A80,INDIRECT("'"&amp;K80&amp;"'!A:I"),6,FALSE)="","",IFERROR(VLOOKUP(A80,INDIRECT("'"&amp;K80&amp;"'!A:I"),6,FALSE),"")))</f>
        <v/>
      </c>
      <c r="F80" s="13" t="str">
        <f ca="1">IFERROR(VLOOKUP(A80,INDIRECT("'"&amp;K80&amp;"'!A:I"),7,FALSE),"")</f>
        <v/>
      </c>
      <c r="G80" s="14" t="str">
        <f ca="1">IFERROR(VLOOKUP(A80,INDIRECT("'"&amp;K80&amp;"'!A:I"),8,FALSE),"")</f>
        <v/>
      </c>
      <c r="H80" s="15" t="str">
        <f ca="1">IFERROR(VLOOKUP(A80,INDIRECT("'"&amp;K80&amp;"'!A:I"),9,FALSE),"")</f>
        <v/>
      </c>
      <c r="I80" s="19" t="str">
        <f ca="1">IFERROR(G80*H80,"")</f>
        <v/>
      </c>
      <c r="J80" s="20" t="str">
        <f ca="1">IF(B80="","",IF(VLOOKUP(A80,INDIRECT("'"&amp;K80&amp;"'!A:L"),11,FALSE)="","",IFERROR(VLOOKUP(A80,INDIRECT("'"&amp;K80&amp;"'!A:L"),11,FALSE),"")))</f>
        <v/>
      </c>
      <c r="K80" s="17" t="str">
        <f t="shared" ca="1" si="37"/>
        <v>包4</v>
      </c>
    </row>
    <row r="81" spans="1:11" ht="18" customHeight="1" x14ac:dyDescent="0.15">
      <c r="A81" s="10">
        <f ca="1">COUNTIF(K$8:K81,K81)-1</f>
        <v>15</v>
      </c>
      <c r="B81" s="11" t="str">
        <f ca="1">IFERROR(VLOOKUP(A81,INDIRECT("'"&amp;K81&amp;"'!A:I"),3,FALSE),"")</f>
        <v/>
      </c>
      <c r="C81" s="11" t="str">
        <f ca="1">IFERROR(VLOOKUP(A81,INDIRECT("'"&amp;K81&amp;"'!A:I"),4,FALSE),"")</f>
        <v/>
      </c>
      <c r="D81" s="12" t="str">
        <f ca="1">IFERROR(VLOOKUP(A81,INDIRECT("'"&amp;K81&amp;"'!A:I"),5,FALSE),"")</f>
        <v/>
      </c>
      <c r="E81" s="11" t="str">
        <f ca="1">IF(B81="","",IF(VLOOKUP(A81,INDIRECT("'"&amp;K81&amp;"'!A:I"),6,FALSE)="","",IFERROR(VLOOKUP(A81,INDIRECT("'"&amp;K81&amp;"'!A:I"),6,FALSE),"")))</f>
        <v/>
      </c>
      <c r="F81" s="13" t="str">
        <f ca="1">IFERROR(VLOOKUP(A81,INDIRECT("'"&amp;K81&amp;"'!A:I"),7,FALSE),"")</f>
        <v/>
      </c>
      <c r="G81" s="14" t="str">
        <f ca="1">IFERROR(VLOOKUP(A81,INDIRECT("'"&amp;K81&amp;"'!A:I"),8,FALSE),"")</f>
        <v/>
      </c>
      <c r="H81" s="15" t="str">
        <f ca="1">IFERROR(VLOOKUP(A81,INDIRECT("'"&amp;K81&amp;"'!A:I"),9,FALSE),"")</f>
        <v/>
      </c>
      <c r="I81" s="19" t="str">
        <f ca="1">IFERROR(G81*H81,"")</f>
        <v/>
      </c>
      <c r="J81" s="20" t="str">
        <f ca="1">IF(B81="","",IF(VLOOKUP(A81,INDIRECT("'"&amp;K81&amp;"'!A:L"),11,FALSE)="","",IFERROR(VLOOKUP(A81,INDIRECT("'"&amp;K81&amp;"'!A:L"),11,FALSE),"")))</f>
        <v/>
      </c>
      <c r="K81" s="17" t="str">
        <f t="shared" ca="1" si="37"/>
        <v>包4</v>
      </c>
    </row>
    <row r="82" spans="1:11" ht="18" customHeight="1" x14ac:dyDescent="0.15">
      <c r="A82" s="10">
        <f ca="1">COUNTIF(K$8:K82,K82)-1</f>
        <v>16</v>
      </c>
      <c r="B82" s="11" t="str">
        <f ca="1">IFERROR(VLOOKUP(A82,INDIRECT("'"&amp;K82&amp;"'!A:I"),3,FALSE),"")</f>
        <v/>
      </c>
      <c r="C82" s="11" t="str">
        <f ca="1">IFERROR(VLOOKUP(A82,INDIRECT("'"&amp;K82&amp;"'!A:I"),4,FALSE),"")</f>
        <v/>
      </c>
      <c r="D82" s="12" t="str">
        <f ca="1">IFERROR(VLOOKUP(A82,INDIRECT("'"&amp;K82&amp;"'!A:I"),5,FALSE),"")</f>
        <v/>
      </c>
      <c r="E82" s="11" t="str">
        <f ca="1">IF(B82="","",IF(VLOOKUP(A82,INDIRECT("'"&amp;K82&amp;"'!A:I"),6,FALSE)="","",IFERROR(VLOOKUP(A82,INDIRECT("'"&amp;K82&amp;"'!A:I"),6,FALSE),"")))</f>
        <v/>
      </c>
      <c r="F82" s="13" t="str">
        <f ca="1">IFERROR(VLOOKUP(A82,INDIRECT("'"&amp;K82&amp;"'!A:I"),7,FALSE),"")</f>
        <v/>
      </c>
      <c r="G82" s="14" t="str">
        <f ca="1">IFERROR(VLOOKUP(A82,INDIRECT("'"&amp;K82&amp;"'!A:I"),8,FALSE),"")</f>
        <v/>
      </c>
      <c r="H82" s="15" t="str">
        <f ca="1">IFERROR(VLOOKUP(A82,INDIRECT("'"&amp;K82&amp;"'!A:I"),9,FALSE),"")</f>
        <v/>
      </c>
      <c r="I82" s="19" t="str">
        <f ca="1">IFERROR(G82*H82,"")</f>
        <v/>
      </c>
      <c r="J82" s="20" t="str">
        <f ca="1">IF(B82="","",IF(VLOOKUP(A82,INDIRECT("'"&amp;K82&amp;"'!A:L"),11,FALSE)="","",IFERROR(VLOOKUP(A82,INDIRECT("'"&amp;K82&amp;"'!A:L"),11,FALSE),"")))</f>
        <v/>
      </c>
      <c r="K82" s="17" t="str">
        <f t="shared" ca="1" si="37"/>
        <v>包4</v>
      </c>
    </row>
    <row r="83" spans="1:11" ht="18" customHeight="1" x14ac:dyDescent="0.15">
      <c r="A83" s="10">
        <f ca="1">COUNTIF(K$8:K83,K83)-1</f>
        <v>17</v>
      </c>
      <c r="B83" s="11" t="str">
        <f ca="1">IFERROR(VLOOKUP(A83,INDIRECT("'"&amp;K83&amp;"'!A:I"),3,FALSE),"")</f>
        <v/>
      </c>
      <c r="C83" s="11" t="str">
        <f ca="1">IFERROR(VLOOKUP(A83,INDIRECT("'"&amp;K83&amp;"'!A:I"),4,FALSE),"")</f>
        <v/>
      </c>
      <c r="D83" s="12" t="str">
        <f ca="1">IFERROR(VLOOKUP(A83,INDIRECT("'"&amp;K83&amp;"'!A:I"),5,FALSE),"")</f>
        <v/>
      </c>
      <c r="E83" s="11" t="str">
        <f ca="1">IF(B83="","",IF(VLOOKUP(A83,INDIRECT("'"&amp;K83&amp;"'!A:I"),6,FALSE)="","",IFERROR(VLOOKUP(A83,INDIRECT("'"&amp;K83&amp;"'!A:I"),6,FALSE),"")))</f>
        <v/>
      </c>
      <c r="F83" s="13" t="str">
        <f ca="1">IFERROR(VLOOKUP(A83,INDIRECT("'"&amp;K83&amp;"'!A:I"),7,FALSE),"")</f>
        <v/>
      </c>
      <c r="G83" s="14" t="str">
        <f ca="1">IFERROR(VLOOKUP(A83,INDIRECT("'"&amp;K83&amp;"'!A:I"),8,FALSE),"")</f>
        <v/>
      </c>
      <c r="H83" s="15" t="str">
        <f ca="1">IFERROR(VLOOKUP(A83,INDIRECT("'"&amp;K83&amp;"'!A:I"),9,FALSE),"")</f>
        <v/>
      </c>
      <c r="I83" s="19" t="str">
        <f ca="1">IFERROR(G83*H83,"")</f>
        <v/>
      </c>
      <c r="J83" s="20" t="str">
        <f ca="1">IF(B83="","",IF(VLOOKUP(A83,INDIRECT("'"&amp;K83&amp;"'!A:L"),11,FALSE)="","",IFERROR(VLOOKUP(A83,INDIRECT("'"&amp;K83&amp;"'!A:L"),11,FALSE),"")))</f>
        <v/>
      </c>
      <c r="K83" s="17" t="str">
        <f t="shared" ca="1" si="37"/>
        <v>包4</v>
      </c>
    </row>
    <row r="84" spans="1:11" ht="18" customHeight="1" x14ac:dyDescent="0.15">
      <c r="A84" s="10">
        <f ca="1">COUNTIF(K$8:K84,K84)-1</f>
        <v>18</v>
      </c>
      <c r="B84" s="11" t="str">
        <f ca="1">IFERROR(VLOOKUP(A84,INDIRECT("'"&amp;K84&amp;"'!A:I"),3,FALSE),"")</f>
        <v/>
      </c>
      <c r="C84" s="11" t="str">
        <f ca="1">IFERROR(VLOOKUP(A84,INDIRECT("'"&amp;K84&amp;"'!A:I"),4,FALSE),"")</f>
        <v/>
      </c>
      <c r="D84" s="12" t="str">
        <f ca="1">IFERROR(VLOOKUP(A84,INDIRECT("'"&amp;K84&amp;"'!A:I"),5,FALSE),"")</f>
        <v/>
      </c>
      <c r="E84" s="11" t="str">
        <f ca="1">IF(B84="","",IF(VLOOKUP(A84,INDIRECT("'"&amp;K84&amp;"'!A:I"),6,FALSE)="","",IFERROR(VLOOKUP(A84,INDIRECT("'"&amp;K84&amp;"'!A:I"),6,FALSE),"")))</f>
        <v/>
      </c>
      <c r="F84" s="13" t="str">
        <f ca="1">IFERROR(VLOOKUP(A84,INDIRECT("'"&amp;K84&amp;"'!A:I"),7,FALSE),"")</f>
        <v/>
      </c>
      <c r="G84" s="14" t="str">
        <f ca="1">IFERROR(VLOOKUP(A84,INDIRECT("'"&amp;K84&amp;"'!A:I"),8,FALSE),"")</f>
        <v/>
      </c>
      <c r="H84" s="15" t="str">
        <f ca="1">IFERROR(VLOOKUP(A84,INDIRECT("'"&amp;K84&amp;"'!A:I"),9,FALSE),"")</f>
        <v/>
      </c>
      <c r="I84" s="19" t="str">
        <f ca="1">IFERROR(G84*H84,"")</f>
        <v/>
      </c>
      <c r="J84" s="20" t="str">
        <f ca="1">IF(B84="","",IF(VLOOKUP(A84,INDIRECT("'"&amp;K84&amp;"'!A:L"),11,FALSE)="","",IFERROR(VLOOKUP(A84,INDIRECT("'"&amp;K84&amp;"'!A:L"),11,FALSE),"")))</f>
        <v/>
      </c>
      <c r="K84" s="17" t="str">
        <f t="shared" ca="1" si="37"/>
        <v>包4</v>
      </c>
    </row>
    <row r="85" spans="1:11" ht="18" customHeight="1" x14ac:dyDescent="0.15">
      <c r="A85" s="10">
        <f ca="1">COUNTIF(K$8:K85,K85)-1</f>
        <v>19</v>
      </c>
      <c r="B85" s="11" t="str">
        <f t="shared" ref="B85:B92" ca="1" si="47">IFERROR(VLOOKUP(A85,INDIRECT("'"&amp;K85&amp;"'!A:I"),3,FALSE),"")</f>
        <v/>
      </c>
      <c r="C85" s="11" t="str">
        <f t="shared" ref="C85:C92" ca="1" si="48">IFERROR(VLOOKUP(A85,INDIRECT("'"&amp;K85&amp;"'!A:I"),4,FALSE),"")</f>
        <v/>
      </c>
      <c r="D85" s="12" t="str">
        <f t="shared" ref="D85:D92" ca="1" si="49">IFERROR(VLOOKUP(A85,INDIRECT("'"&amp;K85&amp;"'!A:I"),5,FALSE),"")</f>
        <v/>
      </c>
      <c r="E85" s="11" t="str">
        <f t="shared" ref="E85:E92" ca="1" si="50">IF(B85="","",IF(VLOOKUP(A85,INDIRECT("'"&amp;K85&amp;"'!A:I"),6,FALSE)="","",IFERROR(VLOOKUP(A85,INDIRECT("'"&amp;K85&amp;"'!A:I"),6,FALSE),"")))</f>
        <v/>
      </c>
      <c r="F85" s="13" t="str">
        <f t="shared" ref="F85:F92" ca="1" si="51">IFERROR(VLOOKUP(A85,INDIRECT("'"&amp;K85&amp;"'!A:I"),7,FALSE),"")</f>
        <v/>
      </c>
      <c r="G85" s="14" t="str">
        <f t="shared" ref="G85:G92" ca="1" si="52">IFERROR(VLOOKUP(A85,INDIRECT("'"&amp;K85&amp;"'!A:I"),8,FALSE),"")</f>
        <v/>
      </c>
      <c r="H85" s="15" t="str">
        <f t="shared" ref="H85:H92" ca="1" si="53">IFERROR(VLOOKUP(A85,INDIRECT("'"&amp;K85&amp;"'!A:I"),9,FALSE),"")</f>
        <v/>
      </c>
      <c r="I85" s="19" t="str">
        <f t="shared" ref="I85:I92" ca="1" si="54">IFERROR(G85*H85,"")</f>
        <v/>
      </c>
      <c r="J85" s="20" t="str">
        <f t="shared" ref="J85:J92" ca="1" si="55">IF(B85="","",IF(VLOOKUP(A85,INDIRECT("'"&amp;K85&amp;"'!A:L"),11,FALSE)="","",IFERROR(VLOOKUP(A85,INDIRECT("'"&amp;K85&amp;"'!A:L"),11,FALSE),"")))</f>
        <v/>
      </c>
      <c r="K85" s="17" t="str">
        <f t="shared" ca="1" si="37"/>
        <v>包4</v>
      </c>
    </row>
    <row r="86" spans="1:11" ht="18" customHeight="1" x14ac:dyDescent="0.15">
      <c r="A86" s="10">
        <f ca="1">COUNTIF(K$8:K86,K86)-1</f>
        <v>20</v>
      </c>
      <c r="B86" s="11" t="str">
        <f t="shared" ca="1" si="47"/>
        <v/>
      </c>
      <c r="C86" s="11" t="str">
        <f t="shared" ca="1" si="48"/>
        <v/>
      </c>
      <c r="D86" s="12" t="str">
        <f t="shared" ca="1" si="49"/>
        <v/>
      </c>
      <c r="E86" s="11" t="str">
        <f t="shared" ca="1" si="50"/>
        <v/>
      </c>
      <c r="F86" s="13" t="str">
        <f t="shared" ca="1" si="51"/>
        <v/>
      </c>
      <c r="G86" s="14" t="str">
        <f t="shared" ca="1" si="52"/>
        <v/>
      </c>
      <c r="H86" s="15" t="str">
        <f t="shared" ca="1" si="53"/>
        <v/>
      </c>
      <c r="I86" s="19" t="str">
        <f t="shared" ca="1" si="54"/>
        <v/>
      </c>
      <c r="J86" s="20" t="str">
        <f t="shared" ca="1" si="55"/>
        <v/>
      </c>
      <c r="K86" s="17" t="str">
        <f t="shared" ca="1" si="37"/>
        <v>包4</v>
      </c>
    </row>
    <row r="87" spans="1:11" ht="18" customHeight="1" x14ac:dyDescent="0.15">
      <c r="A87" s="10">
        <f ca="1">COUNTIF(K$8:K87,K87)-1</f>
        <v>21</v>
      </c>
      <c r="B87" s="11" t="str">
        <f t="shared" ca="1" si="47"/>
        <v/>
      </c>
      <c r="C87" s="11" t="str">
        <f t="shared" ca="1" si="48"/>
        <v/>
      </c>
      <c r="D87" s="12" t="str">
        <f t="shared" ca="1" si="49"/>
        <v/>
      </c>
      <c r="E87" s="11" t="str">
        <f t="shared" ca="1" si="50"/>
        <v/>
      </c>
      <c r="F87" s="13" t="str">
        <f t="shared" ca="1" si="51"/>
        <v/>
      </c>
      <c r="G87" s="14" t="str">
        <f t="shared" ca="1" si="52"/>
        <v/>
      </c>
      <c r="H87" s="15" t="str">
        <f t="shared" ca="1" si="53"/>
        <v/>
      </c>
      <c r="I87" s="19" t="str">
        <f t="shared" ca="1" si="54"/>
        <v/>
      </c>
      <c r="J87" s="20" t="str">
        <f t="shared" ca="1" si="55"/>
        <v/>
      </c>
      <c r="K87" s="17" t="str">
        <f t="shared" ca="1" si="37"/>
        <v>包4</v>
      </c>
    </row>
    <row r="88" spans="1:11" ht="18" customHeight="1" x14ac:dyDescent="0.15">
      <c r="A88" s="10">
        <f ca="1">COUNTIF(K$8:K88,K88)-1</f>
        <v>22</v>
      </c>
      <c r="B88" s="11" t="str">
        <f t="shared" ca="1" si="47"/>
        <v/>
      </c>
      <c r="C88" s="11" t="str">
        <f t="shared" ca="1" si="48"/>
        <v/>
      </c>
      <c r="D88" s="12" t="str">
        <f t="shared" ca="1" si="49"/>
        <v/>
      </c>
      <c r="E88" s="11" t="str">
        <f t="shared" ca="1" si="50"/>
        <v/>
      </c>
      <c r="F88" s="13" t="str">
        <f t="shared" ca="1" si="51"/>
        <v/>
      </c>
      <c r="G88" s="14" t="str">
        <f t="shared" ca="1" si="52"/>
        <v/>
      </c>
      <c r="H88" s="15" t="str">
        <f t="shared" ca="1" si="53"/>
        <v/>
      </c>
      <c r="I88" s="19" t="str">
        <f t="shared" ca="1" si="54"/>
        <v/>
      </c>
      <c r="J88" s="20" t="str">
        <f t="shared" ca="1" si="55"/>
        <v/>
      </c>
      <c r="K88" s="17" t="str">
        <f t="shared" ca="1" si="37"/>
        <v>包4</v>
      </c>
    </row>
    <row r="89" spans="1:11" ht="18" customHeight="1" x14ac:dyDescent="0.15">
      <c r="A89" s="10">
        <f ca="1">COUNTIF(K$8:K89,K89)-1</f>
        <v>23</v>
      </c>
      <c r="B89" s="11" t="str">
        <f t="shared" ca="1" si="47"/>
        <v/>
      </c>
      <c r="C89" s="11" t="str">
        <f t="shared" ca="1" si="48"/>
        <v/>
      </c>
      <c r="D89" s="12" t="str">
        <f t="shared" ca="1" si="49"/>
        <v/>
      </c>
      <c r="E89" s="11" t="str">
        <f t="shared" ca="1" si="50"/>
        <v/>
      </c>
      <c r="F89" s="13" t="str">
        <f t="shared" ca="1" si="51"/>
        <v/>
      </c>
      <c r="G89" s="14" t="str">
        <f t="shared" ca="1" si="52"/>
        <v/>
      </c>
      <c r="H89" s="15" t="str">
        <f t="shared" ca="1" si="53"/>
        <v/>
      </c>
      <c r="I89" s="19" t="str">
        <f t="shared" ca="1" si="54"/>
        <v/>
      </c>
      <c r="J89" s="20" t="str">
        <f t="shared" ca="1" si="55"/>
        <v/>
      </c>
      <c r="K89" s="17" t="str">
        <f t="shared" ca="1" si="37"/>
        <v>包4</v>
      </c>
    </row>
    <row r="90" spans="1:11" ht="18" customHeight="1" x14ac:dyDescent="0.15">
      <c r="A90" s="10">
        <f ca="1">COUNTIF(K$8:K90,K90)-1</f>
        <v>24</v>
      </c>
      <c r="B90" s="11" t="str">
        <f t="shared" ca="1" si="47"/>
        <v/>
      </c>
      <c r="C90" s="11" t="str">
        <f t="shared" ca="1" si="48"/>
        <v/>
      </c>
      <c r="D90" s="12" t="str">
        <f t="shared" ca="1" si="49"/>
        <v/>
      </c>
      <c r="E90" s="11" t="str">
        <f t="shared" ca="1" si="50"/>
        <v/>
      </c>
      <c r="F90" s="13" t="str">
        <f t="shared" ca="1" si="51"/>
        <v/>
      </c>
      <c r="G90" s="14" t="str">
        <f t="shared" ca="1" si="52"/>
        <v/>
      </c>
      <c r="H90" s="15" t="str">
        <f t="shared" ca="1" si="53"/>
        <v/>
      </c>
      <c r="I90" s="19" t="str">
        <f t="shared" ca="1" si="54"/>
        <v/>
      </c>
      <c r="J90" s="20" t="str">
        <f t="shared" ca="1" si="55"/>
        <v/>
      </c>
      <c r="K90" s="17" t="str">
        <f t="shared" ca="1" si="37"/>
        <v>包4</v>
      </c>
    </row>
    <row r="91" spans="1:11" ht="18" customHeight="1" x14ac:dyDescent="0.15">
      <c r="A91" s="10">
        <f ca="1">COUNTIF(K$8:K91,K91)-1</f>
        <v>25</v>
      </c>
      <c r="B91" s="11" t="str">
        <f t="shared" ca="1" si="47"/>
        <v/>
      </c>
      <c r="C91" s="11" t="str">
        <f t="shared" ca="1" si="48"/>
        <v/>
      </c>
      <c r="D91" s="12" t="str">
        <f t="shared" ca="1" si="49"/>
        <v/>
      </c>
      <c r="E91" s="11" t="str">
        <f t="shared" ca="1" si="50"/>
        <v/>
      </c>
      <c r="F91" s="13" t="str">
        <f t="shared" ca="1" si="51"/>
        <v/>
      </c>
      <c r="G91" s="14" t="str">
        <f t="shared" ca="1" si="52"/>
        <v/>
      </c>
      <c r="H91" s="15" t="str">
        <f t="shared" ca="1" si="53"/>
        <v/>
      </c>
      <c r="I91" s="19" t="str">
        <f t="shared" ca="1" si="54"/>
        <v/>
      </c>
      <c r="J91" s="20" t="str">
        <f t="shared" ca="1" si="55"/>
        <v/>
      </c>
      <c r="K91" s="17" t="str">
        <f t="shared" ca="1" si="37"/>
        <v>包4</v>
      </c>
    </row>
    <row r="92" spans="1:11" ht="18" customHeight="1" x14ac:dyDescent="0.15">
      <c r="A92" s="10">
        <f ca="1">COUNTIF(K$8:K92,K92)-1</f>
        <v>26</v>
      </c>
      <c r="B92" s="11" t="str">
        <f t="shared" ca="1" si="47"/>
        <v/>
      </c>
      <c r="C92" s="11" t="str">
        <f t="shared" ca="1" si="48"/>
        <v/>
      </c>
      <c r="D92" s="12" t="str">
        <f t="shared" ca="1" si="49"/>
        <v/>
      </c>
      <c r="E92" s="11" t="str">
        <f t="shared" ca="1" si="50"/>
        <v/>
      </c>
      <c r="F92" s="13" t="str">
        <f t="shared" ca="1" si="51"/>
        <v/>
      </c>
      <c r="G92" s="14" t="str">
        <f t="shared" ca="1" si="52"/>
        <v/>
      </c>
      <c r="H92" s="15" t="str">
        <f t="shared" ca="1" si="53"/>
        <v/>
      </c>
      <c r="I92" s="19" t="str">
        <f t="shared" ca="1" si="54"/>
        <v/>
      </c>
      <c r="J92" s="20" t="str">
        <f t="shared" ca="1" si="55"/>
        <v/>
      </c>
      <c r="K92" s="17" t="str">
        <f t="shared" ca="1" si="37"/>
        <v>包4</v>
      </c>
    </row>
    <row r="93" spans="1:11" ht="18" customHeight="1" x14ac:dyDescent="0.15">
      <c r="A93" s="10">
        <f ca="1">COUNTIF(K$8:K93,K93)-1</f>
        <v>27</v>
      </c>
      <c r="B93" s="11" t="str">
        <f ca="1">IFERROR(VLOOKUP(A93,INDIRECT("'"&amp;K93&amp;"'!A:I"),3,FALSE),"")</f>
        <v/>
      </c>
      <c r="C93" s="11" t="str">
        <f ca="1">IFERROR(VLOOKUP(A93,INDIRECT("'"&amp;K93&amp;"'!A:I"),4,FALSE),"")</f>
        <v/>
      </c>
      <c r="D93" s="12" t="str">
        <f ca="1">IFERROR(VLOOKUP(A93,INDIRECT("'"&amp;K93&amp;"'!A:I"),5,FALSE),"")</f>
        <v/>
      </c>
      <c r="E93" s="11" t="str">
        <f ca="1">IF(B93="","",IF(VLOOKUP(A93,INDIRECT("'"&amp;K93&amp;"'!A:I"),6,FALSE)="","",IFERROR(VLOOKUP(A93,INDIRECT("'"&amp;K93&amp;"'!A:I"),6,FALSE),"")))</f>
        <v/>
      </c>
      <c r="F93" s="13" t="str">
        <f ca="1">IFERROR(VLOOKUP(A93,INDIRECT("'"&amp;K93&amp;"'!A:I"),7,FALSE),"")</f>
        <v/>
      </c>
      <c r="G93" s="14" t="str">
        <f ca="1">IFERROR(VLOOKUP(A93,INDIRECT("'"&amp;K93&amp;"'!A:I"),8,FALSE),"")</f>
        <v/>
      </c>
      <c r="H93" s="15" t="str">
        <f ca="1">IFERROR(VLOOKUP(A93,INDIRECT("'"&amp;K93&amp;"'!A:I"),9,FALSE),"")</f>
        <v/>
      </c>
      <c r="I93" s="19" t="str">
        <f ca="1">IFERROR(G93*H93,"")</f>
        <v/>
      </c>
      <c r="J93" s="20" t="str">
        <f ca="1">IF(B93="","",IF(VLOOKUP(A93,INDIRECT("'"&amp;K93&amp;"'!A:L"),11,FALSE)="","",IFERROR(VLOOKUP(A93,INDIRECT("'"&amp;K93&amp;"'!A:L"),11,FALSE),"")))</f>
        <v/>
      </c>
      <c r="K93" s="17" t="str">
        <f t="shared" ca="1" si="37"/>
        <v>包4</v>
      </c>
    </row>
    <row r="94" spans="1:11" ht="18" customHeight="1" x14ac:dyDescent="0.15">
      <c r="A94" s="10">
        <f ca="1">COUNTIF(K$8:K94,K94)-1</f>
        <v>28</v>
      </c>
      <c r="B94" s="11" t="str">
        <f ca="1">IFERROR(VLOOKUP(A94,INDIRECT("'"&amp;K94&amp;"'!A:I"),3,FALSE),"")</f>
        <v/>
      </c>
      <c r="C94" s="11" t="str">
        <f ca="1">IFERROR(VLOOKUP(A94,INDIRECT("'"&amp;K94&amp;"'!A:I"),4,FALSE),"")</f>
        <v/>
      </c>
      <c r="D94" s="12" t="str">
        <f ca="1">IFERROR(VLOOKUP(A94,INDIRECT("'"&amp;K94&amp;"'!A:I"),5,FALSE),"")</f>
        <v/>
      </c>
      <c r="E94" s="11" t="str">
        <f ca="1">IF(B94="","",IF(VLOOKUP(A94,INDIRECT("'"&amp;K94&amp;"'!A:I"),6,FALSE)="","",IFERROR(VLOOKUP(A94,INDIRECT("'"&amp;K94&amp;"'!A:I"),6,FALSE),"")))</f>
        <v/>
      </c>
      <c r="F94" s="13" t="str">
        <f ca="1">IFERROR(VLOOKUP(A94,INDIRECT("'"&amp;K94&amp;"'!A:I"),7,FALSE),"")</f>
        <v/>
      </c>
      <c r="G94" s="14" t="str">
        <f ca="1">IFERROR(VLOOKUP(A94,INDIRECT("'"&amp;K94&amp;"'!A:I"),8,FALSE),"")</f>
        <v/>
      </c>
      <c r="H94" s="15" t="str">
        <f ca="1">IFERROR(VLOOKUP(A94,INDIRECT("'"&amp;K94&amp;"'!A:I"),9,FALSE),"")</f>
        <v/>
      </c>
      <c r="I94" s="19" t="str">
        <f ca="1">IFERROR(G94*H94,"")</f>
        <v/>
      </c>
      <c r="J94" s="20" t="str">
        <f ca="1">IF(B94="","",IF(VLOOKUP(A94,INDIRECT("'"&amp;K94&amp;"'!A:L"),11,FALSE)="","",IFERROR(VLOOKUP(A94,INDIRECT("'"&amp;K94&amp;"'!A:L"),11,FALSE),"")))</f>
        <v/>
      </c>
      <c r="K94" s="17" t="str">
        <f t="shared" ca="1" si="37"/>
        <v>包4</v>
      </c>
    </row>
    <row r="95" spans="1:11" ht="18" customHeight="1" x14ac:dyDescent="0.15">
      <c r="A95" s="10">
        <f ca="1">COUNTIF(K$8:K95,K95)-1</f>
        <v>29</v>
      </c>
      <c r="B95" s="11" t="str">
        <f ca="1">IFERROR(VLOOKUP(A95,INDIRECT("'"&amp;K95&amp;"'!A:I"),3,FALSE),"")</f>
        <v/>
      </c>
      <c r="C95" s="11" t="str">
        <f ca="1">IFERROR(VLOOKUP(A95,INDIRECT("'"&amp;K95&amp;"'!A:I"),4,FALSE),"")</f>
        <v/>
      </c>
      <c r="D95" s="12" t="str">
        <f ca="1">IFERROR(VLOOKUP(A95,INDIRECT("'"&amp;K95&amp;"'!A:I"),5,FALSE),"")</f>
        <v/>
      </c>
      <c r="E95" s="11" t="str">
        <f ca="1">IF(B95="","",IF(VLOOKUP(A95,INDIRECT("'"&amp;K95&amp;"'!A:I"),6,FALSE)="","",IFERROR(VLOOKUP(A95,INDIRECT("'"&amp;K95&amp;"'!A:I"),6,FALSE),"")))</f>
        <v/>
      </c>
      <c r="F95" s="13" t="str">
        <f ca="1">IFERROR(VLOOKUP(A95,INDIRECT("'"&amp;K95&amp;"'!A:I"),7,FALSE),"")</f>
        <v/>
      </c>
      <c r="G95" s="14" t="str">
        <f ca="1">IFERROR(VLOOKUP(A95,INDIRECT("'"&amp;K95&amp;"'!A:I"),8,FALSE),"")</f>
        <v/>
      </c>
      <c r="H95" s="15" t="str">
        <f ca="1">IFERROR(VLOOKUP(A95,INDIRECT("'"&amp;K95&amp;"'!A:I"),9,FALSE),"")</f>
        <v/>
      </c>
      <c r="I95" s="19" t="str">
        <f ca="1">IFERROR(G95*H95,"")</f>
        <v/>
      </c>
      <c r="J95" s="20" t="str">
        <f ca="1">IF(B95="","",IF(VLOOKUP(A95,INDIRECT("'"&amp;K95&amp;"'!A:L"),11,FALSE)="","",IFERROR(VLOOKUP(A95,INDIRECT("'"&amp;K95&amp;"'!A:L"),11,FALSE),"")))</f>
        <v/>
      </c>
      <c r="K95" s="17" t="str">
        <f t="shared" ca="1" si="37"/>
        <v>包4</v>
      </c>
    </row>
    <row r="96" spans="1:11" ht="18" customHeight="1" x14ac:dyDescent="0.15">
      <c r="A96" s="10">
        <f ca="1">COUNTIF(K$8:K96,K96)-1</f>
        <v>30</v>
      </c>
      <c r="B96" s="11" t="str">
        <f ca="1">IFERROR(VLOOKUP(A96,INDIRECT("'"&amp;K96&amp;"'!A:I"),3,FALSE),"")</f>
        <v/>
      </c>
      <c r="C96" s="11" t="str">
        <f ca="1">IFERROR(VLOOKUP(A96,INDIRECT("'"&amp;K96&amp;"'!A:I"),4,FALSE),"")</f>
        <v/>
      </c>
      <c r="D96" s="12" t="str">
        <f ca="1">IFERROR(VLOOKUP(A96,INDIRECT("'"&amp;K96&amp;"'!A:I"),5,FALSE),"")</f>
        <v/>
      </c>
      <c r="E96" s="11" t="str">
        <f ca="1">IF(B96="","",IF(VLOOKUP(A96,INDIRECT("'"&amp;K96&amp;"'!A:I"),6,FALSE)="","",IFERROR(VLOOKUP(A96,INDIRECT("'"&amp;K96&amp;"'!A:I"),6,FALSE),"")))</f>
        <v/>
      </c>
      <c r="F96" s="13" t="str">
        <f ca="1">IFERROR(VLOOKUP(A96,INDIRECT("'"&amp;K96&amp;"'!A:I"),7,FALSE),"")</f>
        <v/>
      </c>
      <c r="G96" s="14" t="str">
        <f ca="1">IFERROR(VLOOKUP(A96,INDIRECT("'"&amp;K96&amp;"'!A:I"),8,FALSE),"")</f>
        <v/>
      </c>
      <c r="H96" s="15" t="str">
        <f ca="1">IFERROR(VLOOKUP(A96,INDIRECT("'"&amp;K96&amp;"'!A:I"),9,FALSE),"")</f>
        <v/>
      </c>
      <c r="I96" s="19" t="str">
        <f ca="1">IFERROR(G96*H96,"")</f>
        <v/>
      </c>
      <c r="J96" s="20" t="str">
        <f ca="1">IF(B96="","",IF(VLOOKUP(A96,INDIRECT("'"&amp;K96&amp;"'!A:L"),11,FALSE)="","",IFERROR(VLOOKUP(A96,INDIRECT("'"&amp;K96&amp;"'!A:L"),11,FALSE),"")))</f>
        <v/>
      </c>
      <c r="K96" s="17" t="str">
        <f t="shared" ca="1" si="37"/>
        <v>包4</v>
      </c>
    </row>
    <row r="97" spans="1:11" ht="18" customHeight="1" x14ac:dyDescent="0.15">
      <c r="A97" s="10">
        <f ca="1">COUNTIF(K$8:K97,K97)-1</f>
        <v>31</v>
      </c>
      <c r="B97" s="11" t="str">
        <f ca="1">IFERROR(VLOOKUP(A97,INDIRECT("'"&amp;K97&amp;"'!A:I"),3,FALSE),"")</f>
        <v/>
      </c>
      <c r="C97" s="11" t="str">
        <f ca="1">IFERROR(VLOOKUP(A97,INDIRECT("'"&amp;K97&amp;"'!A:I"),4,FALSE),"")</f>
        <v/>
      </c>
      <c r="D97" s="12" t="str">
        <f ca="1">IFERROR(VLOOKUP(A97,INDIRECT("'"&amp;K97&amp;"'!A:I"),5,FALSE),"")</f>
        <v/>
      </c>
      <c r="E97" s="11" t="str">
        <f ca="1">IF(B97="","",IF(VLOOKUP(A97,INDIRECT("'"&amp;K97&amp;"'!A:I"),6,FALSE)="","",IFERROR(VLOOKUP(A97,INDIRECT("'"&amp;K97&amp;"'!A:I"),6,FALSE),"")))</f>
        <v/>
      </c>
      <c r="F97" s="13" t="str">
        <f ca="1">IFERROR(VLOOKUP(A97,INDIRECT("'"&amp;K97&amp;"'!A:I"),7,FALSE),"")</f>
        <v/>
      </c>
      <c r="G97" s="14" t="str">
        <f ca="1">IFERROR(VLOOKUP(A97,INDIRECT("'"&amp;K97&amp;"'!A:I"),8,FALSE),"")</f>
        <v/>
      </c>
      <c r="H97" s="15" t="str">
        <f ca="1">IFERROR(VLOOKUP(A97,INDIRECT("'"&amp;K97&amp;"'!A:I"),9,FALSE),"")</f>
        <v/>
      </c>
      <c r="I97" s="19" t="str">
        <f ca="1">IFERROR(G97*H97,"")</f>
        <v/>
      </c>
      <c r="J97" s="20" t="str">
        <f ca="1">IF(B97="","",IF(VLOOKUP(A97,INDIRECT("'"&amp;K97&amp;"'!A:L"),11,FALSE)="","",IFERROR(VLOOKUP(A97,INDIRECT("'"&amp;K97&amp;"'!A:L"),11,FALSE),"")))</f>
        <v/>
      </c>
      <c r="K97" s="17" t="str">
        <f t="shared" ca="1" si="37"/>
        <v>包4</v>
      </c>
    </row>
    <row r="98" spans="1:11" ht="18" customHeight="1" x14ac:dyDescent="0.15">
      <c r="A98" s="10">
        <f ca="1">COUNTIF(K$8:K98,K98)-1</f>
        <v>32</v>
      </c>
      <c r="B98" s="11" t="str">
        <f t="shared" ref="B98:B105" ca="1" si="56">IFERROR(VLOOKUP(A98,INDIRECT("'"&amp;K98&amp;"'!A:I"),3,FALSE),"")</f>
        <v/>
      </c>
      <c r="C98" s="11" t="str">
        <f t="shared" ref="C98:C105" ca="1" si="57">IFERROR(VLOOKUP(A98,INDIRECT("'"&amp;K98&amp;"'!A:I"),4,FALSE),"")</f>
        <v/>
      </c>
      <c r="D98" s="12" t="str">
        <f t="shared" ref="D98:D105" ca="1" si="58">IFERROR(VLOOKUP(A98,INDIRECT("'"&amp;K98&amp;"'!A:I"),5,FALSE),"")</f>
        <v/>
      </c>
      <c r="E98" s="11" t="str">
        <f t="shared" ref="E98:E105" ca="1" si="59">IF(B98="","",IF(VLOOKUP(A98,INDIRECT("'"&amp;K98&amp;"'!A:I"),6,FALSE)="","",IFERROR(VLOOKUP(A98,INDIRECT("'"&amp;K98&amp;"'!A:I"),6,FALSE),"")))</f>
        <v/>
      </c>
      <c r="F98" s="13" t="str">
        <f t="shared" ref="F98:F105" ca="1" si="60">IFERROR(VLOOKUP(A98,INDIRECT("'"&amp;K98&amp;"'!A:I"),7,FALSE),"")</f>
        <v/>
      </c>
      <c r="G98" s="14" t="str">
        <f t="shared" ref="G98:G105" ca="1" si="61">IFERROR(VLOOKUP(A98,INDIRECT("'"&amp;K98&amp;"'!A:I"),8,FALSE),"")</f>
        <v/>
      </c>
      <c r="H98" s="15" t="str">
        <f t="shared" ref="H98:H105" ca="1" si="62">IFERROR(VLOOKUP(A98,INDIRECT("'"&amp;K98&amp;"'!A:I"),9,FALSE),"")</f>
        <v/>
      </c>
      <c r="I98" s="19" t="str">
        <f t="shared" ref="I98:I105" ca="1" si="63">IFERROR(G98*H98,"")</f>
        <v/>
      </c>
      <c r="J98" s="20" t="str">
        <f t="shared" ref="J98:J105" ca="1" si="64">IF(B98="","",IF(VLOOKUP(A98,INDIRECT("'"&amp;K98&amp;"'!A:L"),11,FALSE)="","",IFERROR(VLOOKUP(A98,INDIRECT("'"&amp;K98&amp;"'!A:L"),11,FALSE),"")))</f>
        <v/>
      </c>
      <c r="K98" s="17" t="str">
        <f t="shared" ca="1" si="37"/>
        <v>包4</v>
      </c>
    </row>
    <row r="99" spans="1:11" ht="18" customHeight="1" x14ac:dyDescent="0.15">
      <c r="A99" s="10">
        <f ca="1">COUNTIF(K$8:K99,K99)-1</f>
        <v>33</v>
      </c>
      <c r="B99" s="11" t="str">
        <f t="shared" ca="1" si="56"/>
        <v/>
      </c>
      <c r="C99" s="11" t="str">
        <f t="shared" ca="1" si="57"/>
        <v/>
      </c>
      <c r="D99" s="12" t="str">
        <f t="shared" ca="1" si="58"/>
        <v/>
      </c>
      <c r="E99" s="11" t="str">
        <f t="shared" ca="1" si="59"/>
        <v/>
      </c>
      <c r="F99" s="13" t="str">
        <f t="shared" ca="1" si="60"/>
        <v/>
      </c>
      <c r="G99" s="14" t="str">
        <f t="shared" ca="1" si="61"/>
        <v/>
      </c>
      <c r="H99" s="15" t="str">
        <f t="shared" ca="1" si="62"/>
        <v/>
      </c>
      <c r="I99" s="19" t="str">
        <f t="shared" ca="1" si="63"/>
        <v/>
      </c>
      <c r="J99" s="20" t="str">
        <f t="shared" ca="1" si="64"/>
        <v/>
      </c>
      <c r="K99" s="17" t="str">
        <f t="shared" ca="1" si="37"/>
        <v>包4</v>
      </c>
    </row>
    <row r="100" spans="1:11" ht="18" customHeight="1" x14ac:dyDescent="0.15">
      <c r="A100" s="10">
        <f ca="1">COUNTIF(K$8:K100,K100)-1</f>
        <v>34</v>
      </c>
      <c r="B100" s="11" t="str">
        <f t="shared" ca="1" si="56"/>
        <v/>
      </c>
      <c r="C100" s="11" t="str">
        <f t="shared" ca="1" si="57"/>
        <v/>
      </c>
      <c r="D100" s="12" t="str">
        <f t="shared" ca="1" si="58"/>
        <v/>
      </c>
      <c r="E100" s="11" t="str">
        <f t="shared" ca="1" si="59"/>
        <v/>
      </c>
      <c r="F100" s="13" t="str">
        <f t="shared" ca="1" si="60"/>
        <v/>
      </c>
      <c r="G100" s="14" t="str">
        <f t="shared" ca="1" si="61"/>
        <v/>
      </c>
      <c r="H100" s="15" t="str">
        <f t="shared" ca="1" si="62"/>
        <v/>
      </c>
      <c r="I100" s="19" t="str">
        <f t="shared" ca="1" si="63"/>
        <v/>
      </c>
      <c r="J100" s="20" t="str">
        <f t="shared" ca="1" si="64"/>
        <v/>
      </c>
      <c r="K100" s="17" t="str">
        <f t="shared" ca="1" si="37"/>
        <v>包4</v>
      </c>
    </row>
    <row r="101" spans="1:11" ht="18" customHeight="1" x14ac:dyDescent="0.15">
      <c r="A101" s="10">
        <f ca="1">COUNTIF(K$8:K101,K101)-1</f>
        <v>35</v>
      </c>
      <c r="B101" s="11" t="str">
        <f t="shared" ca="1" si="56"/>
        <v/>
      </c>
      <c r="C101" s="11" t="str">
        <f t="shared" ca="1" si="57"/>
        <v/>
      </c>
      <c r="D101" s="12" t="str">
        <f t="shared" ca="1" si="58"/>
        <v/>
      </c>
      <c r="E101" s="11" t="str">
        <f t="shared" ca="1" si="59"/>
        <v/>
      </c>
      <c r="F101" s="13" t="str">
        <f t="shared" ca="1" si="60"/>
        <v/>
      </c>
      <c r="G101" s="14" t="str">
        <f t="shared" ca="1" si="61"/>
        <v/>
      </c>
      <c r="H101" s="15" t="str">
        <f t="shared" ca="1" si="62"/>
        <v/>
      </c>
      <c r="I101" s="19" t="str">
        <f t="shared" ca="1" si="63"/>
        <v/>
      </c>
      <c r="J101" s="20" t="str">
        <f t="shared" ca="1" si="64"/>
        <v/>
      </c>
      <c r="K101" s="17" t="str">
        <f t="shared" ca="1" si="37"/>
        <v>包4</v>
      </c>
    </row>
    <row r="102" spans="1:11" ht="18" customHeight="1" x14ac:dyDescent="0.15">
      <c r="A102" s="10">
        <f ca="1">COUNTIF(K$8:K102,K102)-1</f>
        <v>36</v>
      </c>
      <c r="B102" s="11" t="str">
        <f t="shared" ca="1" si="56"/>
        <v/>
      </c>
      <c r="C102" s="11" t="str">
        <f t="shared" ca="1" si="57"/>
        <v/>
      </c>
      <c r="D102" s="12" t="str">
        <f t="shared" ca="1" si="58"/>
        <v/>
      </c>
      <c r="E102" s="11" t="str">
        <f t="shared" ca="1" si="59"/>
        <v/>
      </c>
      <c r="F102" s="13" t="str">
        <f t="shared" ca="1" si="60"/>
        <v/>
      </c>
      <c r="G102" s="14" t="str">
        <f t="shared" ca="1" si="61"/>
        <v/>
      </c>
      <c r="H102" s="15" t="str">
        <f t="shared" ca="1" si="62"/>
        <v/>
      </c>
      <c r="I102" s="19" t="str">
        <f t="shared" ca="1" si="63"/>
        <v/>
      </c>
      <c r="J102" s="20" t="str">
        <f t="shared" ca="1" si="64"/>
        <v/>
      </c>
      <c r="K102" s="17" t="str">
        <f t="shared" ca="1" si="37"/>
        <v>包4</v>
      </c>
    </row>
    <row r="103" spans="1:11" ht="18" customHeight="1" x14ac:dyDescent="0.15">
      <c r="A103" s="10">
        <f ca="1">COUNTIF(K$8:K103,K103)-1</f>
        <v>37</v>
      </c>
      <c r="B103" s="11" t="str">
        <f t="shared" ca="1" si="56"/>
        <v/>
      </c>
      <c r="C103" s="11" t="str">
        <f t="shared" ca="1" si="57"/>
        <v/>
      </c>
      <c r="D103" s="12" t="str">
        <f t="shared" ca="1" si="58"/>
        <v/>
      </c>
      <c r="E103" s="11" t="str">
        <f t="shared" ca="1" si="59"/>
        <v/>
      </c>
      <c r="F103" s="13" t="str">
        <f t="shared" ca="1" si="60"/>
        <v/>
      </c>
      <c r="G103" s="14" t="str">
        <f t="shared" ca="1" si="61"/>
        <v/>
      </c>
      <c r="H103" s="15" t="str">
        <f t="shared" ca="1" si="62"/>
        <v/>
      </c>
      <c r="I103" s="19" t="str">
        <f t="shared" ca="1" si="63"/>
        <v/>
      </c>
      <c r="J103" s="20" t="str">
        <f t="shared" ca="1" si="64"/>
        <v/>
      </c>
      <c r="K103" s="17" t="str">
        <f t="shared" ca="1" si="37"/>
        <v>包4</v>
      </c>
    </row>
    <row r="104" spans="1:11" ht="18" customHeight="1" x14ac:dyDescent="0.15">
      <c r="A104" s="10">
        <f ca="1">COUNTIF(K$8:K104,K104)-1</f>
        <v>38</v>
      </c>
      <c r="B104" s="11" t="str">
        <f t="shared" ca="1" si="56"/>
        <v/>
      </c>
      <c r="C104" s="11" t="str">
        <f t="shared" ca="1" si="57"/>
        <v/>
      </c>
      <c r="D104" s="12" t="str">
        <f t="shared" ca="1" si="58"/>
        <v/>
      </c>
      <c r="E104" s="11" t="str">
        <f t="shared" ca="1" si="59"/>
        <v/>
      </c>
      <c r="F104" s="13" t="str">
        <f t="shared" ca="1" si="60"/>
        <v/>
      </c>
      <c r="G104" s="14" t="str">
        <f t="shared" ca="1" si="61"/>
        <v/>
      </c>
      <c r="H104" s="15" t="str">
        <f t="shared" ca="1" si="62"/>
        <v/>
      </c>
      <c r="I104" s="19" t="str">
        <f t="shared" ca="1" si="63"/>
        <v/>
      </c>
      <c r="J104" s="20" t="str">
        <f t="shared" ca="1" si="64"/>
        <v/>
      </c>
      <c r="K104" s="17" t="str">
        <f t="shared" ca="1" si="37"/>
        <v>包4</v>
      </c>
    </row>
    <row r="105" spans="1:11" ht="18" customHeight="1" x14ac:dyDescent="0.15">
      <c r="A105" s="10">
        <f ca="1">COUNTIF(K$8:K105,K105)-1</f>
        <v>39</v>
      </c>
      <c r="B105" s="11" t="str">
        <f t="shared" ca="1" si="56"/>
        <v/>
      </c>
      <c r="C105" s="11" t="str">
        <f t="shared" ca="1" si="57"/>
        <v/>
      </c>
      <c r="D105" s="12" t="str">
        <f t="shared" ca="1" si="58"/>
        <v/>
      </c>
      <c r="E105" s="11" t="str">
        <f t="shared" ca="1" si="59"/>
        <v/>
      </c>
      <c r="F105" s="13" t="str">
        <f t="shared" ca="1" si="60"/>
        <v/>
      </c>
      <c r="G105" s="14" t="str">
        <f t="shared" ca="1" si="61"/>
        <v/>
      </c>
      <c r="H105" s="15" t="str">
        <f t="shared" ca="1" si="62"/>
        <v/>
      </c>
      <c r="I105" s="19" t="str">
        <f t="shared" ca="1" si="63"/>
        <v/>
      </c>
      <c r="J105" s="20" t="str">
        <f t="shared" ca="1" si="64"/>
        <v/>
      </c>
      <c r="K105" s="17" t="str">
        <f t="shared" ca="1" si="37"/>
        <v>包4</v>
      </c>
    </row>
    <row r="106" spans="1:11" ht="18" customHeight="1" x14ac:dyDescent="0.15">
      <c r="A106" s="10">
        <f ca="1">COUNTIF(K$8:K106,K106)-1</f>
        <v>40</v>
      </c>
      <c r="B106" s="11" t="str">
        <f ca="1">IFERROR(VLOOKUP(A106,INDIRECT("'"&amp;K106&amp;"'!A:I"),3,FALSE),"")</f>
        <v/>
      </c>
      <c r="C106" s="11" t="str">
        <f ca="1">IFERROR(VLOOKUP(A106,INDIRECT("'"&amp;K106&amp;"'!A:I"),4,FALSE),"")</f>
        <v/>
      </c>
      <c r="D106" s="12" t="str">
        <f ca="1">IFERROR(VLOOKUP(A106,INDIRECT("'"&amp;K106&amp;"'!A:I"),5,FALSE),"")</f>
        <v/>
      </c>
      <c r="E106" s="11" t="str">
        <f ca="1">IF(B106="","",IF(VLOOKUP(A106,INDIRECT("'"&amp;K106&amp;"'!A:I"),6,FALSE)="","",IFERROR(VLOOKUP(A106,INDIRECT("'"&amp;K106&amp;"'!A:I"),6,FALSE),"")))</f>
        <v/>
      </c>
      <c r="F106" s="13" t="str">
        <f ca="1">IFERROR(VLOOKUP(A106,INDIRECT("'"&amp;K106&amp;"'!A:I"),7,FALSE),"")</f>
        <v/>
      </c>
      <c r="G106" s="14" t="str">
        <f ca="1">IFERROR(VLOOKUP(A106,INDIRECT("'"&amp;K106&amp;"'!A:I"),8,FALSE),"")</f>
        <v/>
      </c>
      <c r="H106" s="15" t="str">
        <f ca="1">IFERROR(VLOOKUP(A106,INDIRECT("'"&amp;K106&amp;"'!A:I"),9,FALSE),"")</f>
        <v/>
      </c>
      <c r="I106" s="19" t="str">
        <f ca="1">IFERROR(G106*H106,"")</f>
        <v/>
      </c>
      <c r="J106" s="20" t="str">
        <f ca="1">IF(B106="","",IF(VLOOKUP(A106,INDIRECT("'"&amp;K106&amp;"'!A:L"),11,FALSE)="","",IFERROR(VLOOKUP(A106,INDIRECT("'"&amp;K106&amp;"'!A:L"),11,FALSE),"")))</f>
        <v/>
      </c>
      <c r="K106" s="17" t="str">
        <f t="shared" ca="1" si="37"/>
        <v>包4</v>
      </c>
    </row>
    <row r="107" spans="1:11" ht="18" customHeight="1" x14ac:dyDescent="0.15">
      <c r="A107" s="10">
        <f ca="1">COUNTIF(K$8:K107,K107)-1</f>
        <v>41</v>
      </c>
      <c r="B107" s="11" t="str">
        <f ca="1">IFERROR(VLOOKUP(A107,INDIRECT("'"&amp;K107&amp;"'!A:I"),3,FALSE),"")</f>
        <v/>
      </c>
      <c r="C107" s="11" t="str">
        <f ca="1">IFERROR(VLOOKUP(A107,INDIRECT("'"&amp;K107&amp;"'!A:I"),4,FALSE),"")</f>
        <v/>
      </c>
      <c r="D107" s="12" t="str">
        <f ca="1">IFERROR(VLOOKUP(A107,INDIRECT("'"&amp;K107&amp;"'!A:I"),5,FALSE),"")</f>
        <v/>
      </c>
      <c r="E107" s="11" t="str">
        <f ca="1">IF(B107="","",IF(VLOOKUP(A107,INDIRECT("'"&amp;K107&amp;"'!A:I"),6,FALSE)="","",IFERROR(VLOOKUP(A107,INDIRECT("'"&amp;K107&amp;"'!A:I"),6,FALSE),"")))</f>
        <v/>
      </c>
      <c r="F107" s="13" t="str">
        <f ca="1">IFERROR(VLOOKUP(A107,INDIRECT("'"&amp;K107&amp;"'!A:I"),7,FALSE),"")</f>
        <v/>
      </c>
      <c r="G107" s="14" t="str">
        <f ca="1">IFERROR(VLOOKUP(A107,INDIRECT("'"&amp;K107&amp;"'!A:I"),8,FALSE),"")</f>
        <v/>
      </c>
      <c r="H107" s="15" t="str">
        <f ca="1">IFERROR(VLOOKUP(A107,INDIRECT("'"&amp;K107&amp;"'!A:I"),9,FALSE),"")</f>
        <v/>
      </c>
      <c r="I107" s="19" t="str">
        <f ca="1">IFERROR(G107*H107,"")</f>
        <v/>
      </c>
      <c r="J107" s="20" t="str">
        <f ca="1">IF(B107="","",IF(VLOOKUP(A107,INDIRECT("'"&amp;K107&amp;"'!A:L"),11,FALSE)="","",IFERROR(VLOOKUP(A107,INDIRECT("'"&amp;K107&amp;"'!A:L"),11,FALSE),"")))</f>
        <v/>
      </c>
      <c r="K107" s="17" t="str">
        <f t="shared" ca="1" si="37"/>
        <v>包4</v>
      </c>
    </row>
    <row r="108" spans="1:11" ht="18" customHeight="1" x14ac:dyDescent="0.15">
      <c r="A108" s="10">
        <f ca="1">COUNTIF(K$8:K108,K108)-1</f>
        <v>42</v>
      </c>
      <c r="B108" s="11" t="str">
        <f ca="1">IFERROR(VLOOKUP(A108,INDIRECT("'"&amp;K108&amp;"'!A:I"),3,FALSE),"")</f>
        <v/>
      </c>
      <c r="C108" s="11" t="str">
        <f ca="1">IFERROR(VLOOKUP(A108,INDIRECT("'"&amp;K108&amp;"'!A:I"),4,FALSE),"")</f>
        <v/>
      </c>
      <c r="D108" s="12" t="str">
        <f ca="1">IFERROR(VLOOKUP(A108,INDIRECT("'"&amp;K108&amp;"'!A:I"),5,FALSE),"")</f>
        <v/>
      </c>
      <c r="E108" s="11" t="str">
        <f ca="1">IF(B108="","",IF(VLOOKUP(A108,INDIRECT("'"&amp;K108&amp;"'!A:I"),6,FALSE)="","",IFERROR(VLOOKUP(A108,INDIRECT("'"&amp;K108&amp;"'!A:I"),6,FALSE),"")))</f>
        <v/>
      </c>
      <c r="F108" s="13" t="str">
        <f ca="1">IFERROR(VLOOKUP(A108,INDIRECT("'"&amp;K108&amp;"'!A:I"),7,FALSE),"")</f>
        <v/>
      </c>
      <c r="G108" s="14" t="str">
        <f ca="1">IFERROR(VLOOKUP(A108,INDIRECT("'"&amp;K108&amp;"'!A:I"),8,FALSE),"")</f>
        <v/>
      </c>
      <c r="H108" s="15" t="str">
        <f ca="1">IFERROR(VLOOKUP(A108,INDIRECT("'"&amp;K108&amp;"'!A:I"),9,FALSE),"")</f>
        <v/>
      </c>
      <c r="I108" s="19" t="str">
        <f ca="1">IFERROR(G108*H108,"")</f>
        <v/>
      </c>
      <c r="J108" s="20" t="str">
        <f ca="1">IF(B108="","",IF(VLOOKUP(A108,INDIRECT("'"&amp;K108&amp;"'!A:L"),11,FALSE)="","",IFERROR(VLOOKUP(A108,INDIRECT("'"&amp;K108&amp;"'!A:L"),11,FALSE),"")))</f>
        <v/>
      </c>
      <c r="K108" s="17" t="str">
        <f t="shared" ca="1" si="37"/>
        <v>包4</v>
      </c>
    </row>
    <row r="109" spans="1:11" ht="18" customHeight="1" x14ac:dyDescent="0.15">
      <c r="A109" s="10">
        <f ca="1">COUNTIF(K$8:K109,K109)-1</f>
        <v>43</v>
      </c>
      <c r="B109" s="11" t="str">
        <f ca="1">IFERROR(VLOOKUP(A109,INDIRECT("'"&amp;K109&amp;"'!A:I"),3,FALSE),"")</f>
        <v/>
      </c>
      <c r="C109" s="11" t="str">
        <f ca="1">IFERROR(VLOOKUP(A109,INDIRECT("'"&amp;K109&amp;"'!A:I"),4,FALSE),"")</f>
        <v/>
      </c>
      <c r="D109" s="12" t="str">
        <f ca="1">IFERROR(VLOOKUP(A109,INDIRECT("'"&amp;K109&amp;"'!A:I"),5,FALSE),"")</f>
        <v/>
      </c>
      <c r="E109" s="11" t="str">
        <f ca="1">IF(B109="","",IF(VLOOKUP(A109,INDIRECT("'"&amp;K109&amp;"'!A:I"),6,FALSE)="","",IFERROR(VLOOKUP(A109,INDIRECT("'"&amp;K109&amp;"'!A:I"),6,FALSE),"")))</f>
        <v/>
      </c>
      <c r="F109" s="13" t="str">
        <f ca="1">IFERROR(VLOOKUP(A109,INDIRECT("'"&amp;K109&amp;"'!A:I"),7,FALSE),"")</f>
        <v/>
      </c>
      <c r="G109" s="14" t="str">
        <f ca="1">IFERROR(VLOOKUP(A109,INDIRECT("'"&amp;K109&amp;"'!A:I"),8,FALSE),"")</f>
        <v/>
      </c>
      <c r="H109" s="15" t="str">
        <f ca="1">IFERROR(VLOOKUP(A109,INDIRECT("'"&amp;K109&amp;"'!A:I"),9,FALSE),"")</f>
        <v/>
      </c>
      <c r="I109" s="19" t="str">
        <f ca="1">IFERROR(G109*H109,"")</f>
        <v/>
      </c>
      <c r="J109" s="20" t="str">
        <f ca="1">IF(B109="","",IF(VLOOKUP(A109,INDIRECT("'"&amp;K109&amp;"'!A:L"),11,FALSE)="","",IFERROR(VLOOKUP(A109,INDIRECT("'"&amp;K109&amp;"'!A:L"),11,FALSE),"")))</f>
        <v/>
      </c>
      <c r="K109" s="17" t="str">
        <f t="shared" ca="1" si="37"/>
        <v>包4</v>
      </c>
    </row>
    <row r="110" spans="1:11" ht="18" customHeight="1" x14ac:dyDescent="0.15">
      <c r="A110" s="10">
        <f ca="1">COUNTIF(K$8:K110,K110)-1</f>
        <v>44</v>
      </c>
      <c r="B110" s="11" t="str">
        <f ca="1">IFERROR(VLOOKUP(A110,INDIRECT("'"&amp;K110&amp;"'!A:I"),3,FALSE),"")</f>
        <v/>
      </c>
      <c r="C110" s="11" t="str">
        <f ca="1">IFERROR(VLOOKUP(A110,INDIRECT("'"&amp;K110&amp;"'!A:I"),4,FALSE),"")</f>
        <v/>
      </c>
      <c r="D110" s="12" t="str">
        <f ca="1">IFERROR(VLOOKUP(A110,INDIRECT("'"&amp;K110&amp;"'!A:I"),5,FALSE),"")</f>
        <v/>
      </c>
      <c r="E110" s="11" t="str">
        <f ca="1">IF(B110="","",IF(VLOOKUP(A110,INDIRECT("'"&amp;K110&amp;"'!A:I"),6,FALSE)="","",IFERROR(VLOOKUP(A110,INDIRECT("'"&amp;K110&amp;"'!A:I"),6,FALSE),"")))</f>
        <v/>
      </c>
      <c r="F110" s="13" t="str">
        <f ca="1">IFERROR(VLOOKUP(A110,INDIRECT("'"&amp;K110&amp;"'!A:I"),7,FALSE),"")</f>
        <v/>
      </c>
      <c r="G110" s="14" t="str">
        <f ca="1">IFERROR(VLOOKUP(A110,INDIRECT("'"&amp;K110&amp;"'!A:I"),8,FALSE),"")</f>
        <v/>
      </c>
      <c r="H110" s="15" t="str">
        <f ca="1">IFERROR(VLOOKUP(A110,INDIRECT("'"&amp;K110&amp;"'!A:I"),9,FALSE),"")</f>
        <v/>
      </c>
      <c r="I110" s="19" t="str">
        <f ca="1">IFERROR(G110*H110,"")</f>
        <v/>
      </c>
      <c r="J110" s="20" t="str">
        <f ca="1">IF(B110="","",IF(VLOOKUP(A110,INDIRECT("'"&amp;K110&amp;"'!A:L"),11,FALSE)="","",IFERROR(VLOOKUP(A110,INDIRECT("'"&amp;K110&amp;"'!A:L"),11,FALSE),"")))</f>
        <v/>
      </c>
      <c r="K110" s="17" t="str">
        <f t="shared" ca="1" si="37"/>
        <v>包4</v>
      </c>
    </row>
    <row r="111" spans="1:11" ht="18" customHeight="1" x14ac:dyDescent="0.15">
      <c r="A111" s="10">
        <f ca="1">COUNTIF(K$8:K111,K111)-1</f>
        <v>45</v>
      </c>
      <c r="B111" s="11" t="str">
        <f t="shared" ref="B111:B118" ca="1" si="65">IFERROR(VLOOKUP(A111,INDIRECT("'"&amp;K111&amp;"'!A:I"),3,FALSE),"")</f>
        <v/>
      </c>
      <c r="C111" s="11" t="str">
        <f t="shared" ref="C111:C118" ca="1" si="66">IFERROR(VLOOKUP(A111,INDIRECT("'"&amp;K111&amp;"'!A:I"),4,FALSE),"")</f>
        <v/>
      </c>
      <c r="D111" s="12" t="str">
        <f t="shared" ref="D111:D118" ca="1" si="67">IFERROR(VLOOKUP(A111,INDIRECT("'"&amp;K111&amp;"'!A:I"),5,FALSE),"")</f>
        <v/>
      </c>
      <c r="E111" s="11" t="str">
        <f t="shared" ref="E111:E118" ca="1" si="68">IF(B111="","",IF(VLOOKUP(A111,INDIRECT("'"&amp;K111&amp;"'!A:I"),6,FALSE)="","",IFERROR(VLOOKUP(A111,INDIRECT("'"&amp;K111&amp;"'!A:I"),6,FALSE),"")))</f>
        <v/>
      </c>
      <c r="F111" s="13" t="str">
        <f t="shared" ref="F111:F118" ca="1" si="69">IFERROR(VLOOKUP(A111,INDIRECT("'"&amp;K111&amp;"'!A:I"),7,FALSE),"")</f>
        <v/>
      </c>
      <c r="G111" s="14" t="str">
        <f t="shared" ref="G111:G118" ca="1" si="70">IFERROR(VLOOKUP(A111,INDIRECT("'"&amp;K111&amp;"'!A:I"),8,FALSE),"")</f>
        <v/>
      </c>
      <c r="H111" s="15" t="str">
        <f t="shared" ref="H111:H118" ca="1" si="71">IFERROR(VLOOKUP(A111,INDIRECT("'"&amp;K111&amp;"'!A:I"),9,FALSE),"")</f>
        <v/>
      </c>
      <c r="I111" s="19" t="str">
        <f t="shared" ref="I111:I118" ca="1" si="72">IFERROR(G111*H111,"")</f>
        <v/>
      </c>
      <c r="J111" s="20" t="str">
        <f t="shared" ref="J111:J118" ca="1" si="73">IF(B111="","",IF(VLOOKUP(A111,INDIRECT("'"&amp;K111&amp;"'!A:L"),11,FALSE)="","",IFERROR(VLOOKUP(A111,INDIRECT("'"&amp;K111&amp;"'!A:L"),11,FALSE),"")))</f>
        <v/>
      </c>
      <c r="K111" s="17" t="str">
        <f t="shared" ca="1" si="37"/>
        <v>包4</v>
      </c>
    </row>
    <row r="112" spans="1:11" ht="18" customHeight="1" x14ac:dyDescent="0.15">
      <c r="A112" s="10">
        <f ca="1">COUNTIF(K$8:K112,K112)-1</f>
        <v>46</v>
      </c>
      <c r="B112" s="11" t="str">
        <f t="shared" ca="1" si="65"/>
        <v/>
      </c>
      <c r="C112" s="11" t="str">
        <f t="shared" ca="1" si="66"/>
        <v/>
      </c>
      <c r="D112" s="12" t="str">
        <f t="shared" ca="1" si="67"/>
        <v/>
      </c>
      <c r="E112" s="11" t="str">
        <f t="shared" ca="1" si="68"/>
        <v/>
      </c>
      <c r="F112" s="13" t="str">
        <f t="shared" ca="1" si="69"/>
        <v/>
      </c>
      <c r="G112" s="14" t="str">
        <f t="shared" ca="1" si="70"/>
        <v/>
      </c>
      <c r="H112" s="15" t="str">
        <f t="shared" ca="1" si="71"/>
        <v/>
      </c>
      <c r="I112" s="19" t="str">
        <f t="shared" ca="1" si="72"/>
        <v/>
      </c>
      <c r="J112" s="20" t="str">
        <f t="shared" ca="1" si="73"/>
        <v/>
      </c>
      <c r="K112" s="17" t="str">
        <f t="shared" ca="1" si="37"/>
        <v>包4</v>
      </c>
    </row>
    <row r="113" spans="1:11" ht="18" customHeight="1" x14ac:dyDescent="0.15">
      <c r="A113" s="10">
        <f ca="1">COUNTIF(K$8:K113,K113)-1</f>
        <v>47</v>
      </c>
      <c r="B113" s="11" t="str">
        <f t="shared" ca="1" si="65"/>
        <v/>
      </c>
      <c r="C113" s="11" t="str">
        <f t="shared" ca="1" si="66"/>
        <v/>
      </c>
      <c r="D113" s="12" t="str">
        <f t="shared" ca="1" si="67"/>
        <v/>
      </c>
      <c r="E113" s="11" t="str">
        <f t="shared" ca="1" si="68"/>
        <v/>
      </c>
      <c r="F113" s="13" t="str">
        <f t="shared" ca="1" si="69"/>
        <v/>
      </c>
      <c r="G113" s="14" t="str">
        <f t="shared" ca="1" si="70"/>
        <v/>
      </c>
      <c r="H113" s="15" t="str">
        <f t="shared" ca="1" si="71"/>
        <v/>
      </c>
      <c r="I113" s="19" t="str">
        <f t="shared" ca="1" si="72"/>
        <v/>
      </c>
      <c r="J113" s="20" t="str">
        <f t="shared" ca="1" si="73"/>
        <v/>
      </c>
      <c r="K113" s="17" t="str">
        <f t="shared" ca="1" si="37"/>
        <v>包4</v>
      </c>
    </row>
    <row r="114" spans="1:11" ht="18" customHeight="1" x14ac:dyDescent="0.15">
      <c r="A114" s="10">
        <f ca="1">COUNTIF(K$8:K114,K114)-1</f>
        <v>48</v>
      </c>
      <c r="B114" s="11" t="str">
        <f t="shared" ca="1" si="65"/>
        <v/>
      </c>
      <c r="C114" s="11" t="str">
        <f t="shared" ca="1" si="66"/>
        <v/>
      </c>
      <c r="D114" s="12" t="str">
        <f t="shared" ca="1" si="67"/>
        <v/>
      </c>
      <c r="E114" s="11" t="str">
        <f t="shared" ca="1" si="68"/>
        <v/>
      </c>
      <c r="F114" s="13" t="str">
        <f t="shared" ca="1" si="69"/>
        <v/>
      </c>
      <c r="G114" s="14" t="str">
        <f t="shared" ca="1" si="70"/>
        <v/>
      </c>
      <c r="H114" s="15" t="str">
        <f t="shared" ca="1" si="71"/>
        <v/>
      </c>
      <c r="I114" s="19" t="str">
        <f t="shared" ca="1" si="72"/>
        <v/>
      </c>
      <c r="J114" s="20" t="str">
        <f t="shared" ca="1" si="73"/>
        <v/>
      </c>
      <c r="K114" s="17" t="str">
        <f t="shared" ca="1" si="37"/>
        <v>包4</v>
      </c>
    </row>
    <row r="115" spans="1:11" ht="18" customHeight="1" x14ac:dyDescent="0.15">
      <c r="A115" s="10">
        <f ca="1">COUNTIF(K$8:K115,K115)-1</f>
        <v>49</v>
      </c>
      <c r="B115" s="11" t="str">
        <f t="shared" ca="1" si="65"/>
        <v/>
      </c>
      <c r="C115" s="11" t="str">
        <f t="shared" ca="1" si="66"/>
        <v/>
      </c>
      <c r="D115" s="12" t="str">
        <f t="shared" ca="1" si="67"/>
        <v/>
      </c>
      <c r="E115" s="11" t="str">
        <f t="shared" ca="1" si="68"/>
        <v/>
      </c>
      <c r="F115" s="13" t="str">
        <f t="shared" ca="1" si="69"/>
        <v/>
      </c>
      <c r="G115" s="14" t="str">
        <f t="shared" ca="1" si="70"/>
        <v/>
      </c>
      <c r="H115" s="15" t="str">
        <f t="shared" ca="1" si="71"/>
        <v/>
      </c>
      <c r="I115" s="19" t="str">
        <f t="shared" ca="1" si="72"/>
        <v/>
      </c>
      <c r="J115" s="20" t="str">
        <f t="shared" ca="1" si="73"/>
        <v/>
      </c>
      <c r="K115" s="17" t="str">
        <f t="shared" ca="1" si="37"/>
        <v>包4</v>
      </c>
    </row>
    <row r="116" spans="1:11" ht="18" customHeight="1" x14ac:dyDescent="0.15">
      <c r="A116" s="10">
        <f ca="1">COUNTIF(K$8:K116,K116)-1</f>
        <v>50</v>
      </c>
      <c r="B116" s="11" t="str">
        <f t="shared" ca="1" si="65"/>
        <v/>
      </c>
      <c r="C116" s="11" t="str">
        <f t="shared" ca="1" si="66"/>
        <v/>
      </c>
      <c r="D116" s="12" t="str">
        <f t="shared" ca="1" si="67"/>
        <v/>
      </c>
      <c r="E116" s="11" t="str">
        <f t="shared" ca="1" si="68"/>
        <v/>
      </c>
      <c r="F116" s="13" t="str">
        <f t="shared" ca="1" si="69"/>
        <v/>
      </c>
      <c r="G116" s="14" t="str">
        <f t="shared" ca="1" si="70"/>
        <v/>
      </c>
      <c r="H116" s="15" t="str">
        <f t="shared" ca="1" si="71"/>
        <v/>
      </c>
      <c r="I116" s="19" t="str">
        <f t="shared" ca="1" si="72"/>
        <v/>
      </c>
      <c r="J116" s="20" t="str">
        <f t="shared" ca="1" si="73"/>
        <v/>
      </c>
      <c r="K116" s="17" t="str">
        <f t="shared" ca="1" si="37"/>
        <v>包4</v>
      </c>
    </row>
    <row r="117" spans="1:11" ht="18" customHeight="1" x14ac:dyDescent="0.15">
      <c r="A117" s="10">
        <f ca="1">COUNTIF(K$8:K117,K117)-1</f>
        <v>51</v>
      </c>
      <c r="B117" s="11" t="str">
        <f t="shared" ca="1" si="65"/>
        <v/>
      </c>
      <c r="C117" s="11" t="str">
        <f t="shared" ca="1" si="66"/>
        <v/>
      </c>
      <c r="D117" s="12" t="str">
        <f t="shared" ca="1" si="67"/>
        <v/>
      </c>
      <c r="E117" s="11" t="str">
        <f t="shared" ca="1" si="68"/>
        <v/>
      </c>
      <c r="F117" s="13" t="str">
        <f t="shared" ca="1" si="69"/>
        <v/>
      </c>
      <c r="G117" s="14" t="str">
        <f t="shared" ca="1" si="70"/>
        <v/>
      </c>
      <c r="H117" s="15" t="str">
        <f t="shared" ca="1" si="71"/>
        <v/>
      </c>
      <c r="I117" s="19" t="str">
        <f t="shared" ca="1" si="72"/>
        <v/>
      </c>
      <c r="J117" s="20" t="str">
        <f t="shared" ca="1" si="73"/>
        <v/>
      </c>
      <c r="K117" s="17" t="str">
        <f t="shared" ca="1" si="37"/>
        <v>包4</v>
      </c>
    </row>
    <row r="118" spans="1:11" ht="18" customHeight="1" x14ac:dyDescent="0.15">
      <c r="A118" s="10">
        <f ca="1">COUNTIF(K$8:K118,K118)-1</f>
        <v>52</v>
      </c>
      <c r="B118" s="11" t="str">
        <f t="shared" ca="1" si="65"/>
        <v/>
      </c>
      <c r="C118" s="11" t="str">
        <f t="shared" ca="1" si="66"/>
        <v/>
      </c>
      <c r="D118" s="12" t="str">
        <f t="shared" ca="1" si="67"/>
        <v/>
      </c>
      <c r="E118" s="11" t="str">
        <f t="shared" ca="1" si="68"/>
        <v/>
      </c>
      <c r="F118" s="13" t="str">
        <f t="shared" ca="1" si="69"/>
        <v/>
      </c>
      <c r="G118" s="14" t="str">
        <f t="shared" ca="1" si="70"/>
        <v/>
      </c>
      <c r="H118" s="15" t="str">
        <f t="shared" ca="1" si="71"/>
        <v/>
      </c>
      <c r="I118" s="19" t="str">
        <f t="shared" ca="1" si="72"/>
        <v/>
      </c>
      <c r="J118" s="20" t="str">
        <f t="shared" ca="1" si="73"/>
        <v/>
      </c>
      <c r="K118" s="17" t="str">
        <f t="shared" ca="1" si="37"/>
        <v>包4</v>
      </c>
    </row>
    <row r="119" spans="1:11" ht="11.1" customHeight="1" x14ac:dyDescent="0.15">
      <c r="A119" s="472"/>
      <c r="B119" s="473"/>
      <c r="C119" s="473"/>
      <c r="D119" s="473"/>
      <c r="E119" s="473"/>
      <c r="F119" s="473"/>
      <c r="G119" s="473"/>
      <c r="H119" s="473"/>
      <c r="I119" s="473"/>
      <c r="J119" s="474"/>
      <c r="K119" s="17" t="str">
        <f t="shared" ca="1" si="37"/>
        <v>包4</v>
      </c>
    </row>
    <row r="120" spans="1:11" ht="21" customHeight="1" x14ac:dyDescent="0.15">
      <c r="A120" s="475" t="str">
        <f ca="1">K120&amp;"合计："</f>
        <v>包4合计：</v>
      </c>
      <c r="B120" s="476"/>
      <c r="C120" s="476"/>
      <c r="D120" s="476"/>
      <c r="E120" s="477"/>
      <c r="F120" s="478" t="str">
        <f ca="1">SUM(G66:G119)&amp;"台"</f>
        <v>0台</v>
      </c>
      <c r="G120" s="479"/>
      <c r="H120" s="465">
        <f ca="1">SUM(I66:I119)</f>
        <v>0</v>
      </c>
      <c r="I120" s="465"/>
      <c r="J120" s="465"/>
      <c r="K120" s="17" t="str">
        <f t="shared" ca="1" si="37"/>
        <v>包4</v>
      </c>
    </row>
    <row r="121" spans="1:11" s="1" customFormat="1" ht="24" customHeight="1" x14ac:dyDescent="0.2">
      <c r="A121" s="471" t="s">
        <v>254</v>
      </c>
      <c r="B121" s="471"/>
      <c r="C121" s="8"/>
      <c r="D121" s="9"/>
      <c r="E121" s="8"/>
      <c r="F121" s="9"/>
      <c r="G121" s="9"/>
      <c r="K121" s="17" t="str">
        <f>IF(ISNUMBER(FIND("配电柜",A121)),LEFT(A121,LEN(A121)-3),A121)</f>
        <v>包5</v>
      </c>
    </row>
    <row r="122" spans="1:11" ht="18" customHeight="1" x14ac:dyDescent="0.15">
      <c r="A122" s="10">
        <f ca="1">COUNTIF(K$8:K122,K122)-1</f>
        <v>1</v>
      </c>
      <c r="B122" s="11" t="str">
        <f ca="1">IFERROR(VLOOKUP(A122,INDIRECT("'"&amp;K122&amp;"'!A:I"),3,FALSE),"")</f>
        <v/>
      </c>
      <c r="C122" s="11" t="str">
        <f ca="1">IFERROR(VLOOKUP(A122,INDIRECT("'"&amp;K122&amp;"'!A:I"),4,FALSE),"")</f>
        <v/>
      </c>
      <c r="D122" s="12" t="str">
        <f ca="1">IFERROR(VLOOKUP(A122,INDIRECT("'"&amp;K122&amp;"'!A:I"),5,FALSE),"")</f>
        <v/>
      </c>
      <c r="E122" s="11" t="str">
        <f ca="1">IF(B122="","",IF(VLOOKUP(A122,INDIRECT("'"&amp;K122&amp;"'!A:I"),6,FALSE)="","",IFERROR(VLOOKUP(A122,INDIRECT("'"&amp;K122&amp;"'!A:I"),6,FALSE),"")))</f>
        <v/>
      </c>
      <c r="F122" s="13" t="str">
        <f ca="1">IFERROR(VLOOKUP(A122,INDIRECT("'"&amp;K122&amp;"'!A:I"),7,FALSE),"")</f>
        <v/>
      </c>
      <c r="G122" s="14" t="str">
        <f ca="1">IFERROR(VLOOKUP(A122,INDIRECT("'"&amp;K122&amp;"'!A:I"),8,FALSE),"")</f>
        <v/>
      </c>
      <c r="H122" s="15" t="str">
        <f ca="1">IFERROR(VLOOKUP(A122,INDIRECT("'"&amp;K122&amp;"'!A:I"),9,FALSE),"")</f>
        <v/>
      </c>
      <c r="I122" s="19" t="str">
        <f ca="1">IFERROR(G122*H122,"")</f>
        <v/>
      </c>
      <c r="J122" s="20" t="str">
        <f ca="1">IF(B122="","",IF(VLOOKUP(A122,INDIRECT("'"&amp;K122&amp;"'!A:L"),11,FALSE)="","",IFERROR(VLOOKUP(A122,INDIRECT("'"&amp;K122&amp;"'!A:L"),11,FALSE),"")))</f>
        <v/>
      </c>
      <c r="K122" s="17" t="str">
        <f t="shared" ca="1" si="37"/>
        <v>包5</v>
      </c>
    </row>
    <row r="123" spans="1:11" ht="18" customHeight="1" x14ac:dyDescent="0.15">
      <c r="A123" s="10">
        <f ca="1">COUNTIF(K$8:K123,K123)-1</f>
        <v>2</v>
      </c>
      <c r="B123" s="11" t="str">
        <f ca="1">IFERROR(VLOOKUP(A123,INDIRECT("'"&amp;K123&amp;"'!A:I"),3,FALSE),"")</f>
        <v/>
      </c>
      <c r="C123" s="11" t="str">
        <f ca="1">IFERROR(VLOOKUP(A123,INDIRECT("'"&amp;K123&amp;"'!A:I"),4,FALSE),"")</f>
        <v/>
      </c>
      <c r="D123" s="12" t="str">
        <f ca="1">IFERROR(VLOOKUP(A123,INDIRECT("'"&amp;K123&amp;"'!A:I"),5,FALSE),"")</f>
        <v/>
      </c>
      <c r="E123" s="11" t="str">
        <f ca="1">IF(B123="","",IF(VLOOKUP(A123,INDIRECT("'"&amp;K123&amp;"'!A:I"),6,FALSE)="","",IFERROR(VLOOKUP(A123,INDIRECT("'"&amp;K123&amp;"'!A:I"),6,FALSE),"")))</f>
        <v/>
      </c>
      <c r="F123" s="13" t="str">
        <f ca="1">IFERROR(VLOOKUP(A123,INDIRECT("'"&amp;K123&amp;"'!A:I"),7,FALSE),"")</f>
        <v/>
      </c>
      <c r="G123" s="14" t="str">
        <f ca="1">IFERROR(VLOOKUP(A123,INDIRECT("'"&amp;K123&amp;"'!A:I"),8,FALSE),"")</f>
        <v/>
      </c>
      <c r="H123" s="15" t="str">
        <f ca="1">IFERROR(VLOOKUP(A123,INDIRECT("'"&amp;K123&amp;"'!A:I"),9,FALSE),"")</f>
        <v/>
      </c>
      <c r="I123" s="19" t="str">
        <f ca="1">IFERROR(G123*H123,"")</f>
        <v/>
      </c>
      <c r="J123" s="20" t="str">
        <f ca="1">IF(B123="","",IF(VLOOKUP(A123,INDIRECT("'"&amp;K123&amp;"'!A:L"),11,FALSE)="","",IFERROR(VLOOKUP(A123,INDIRECT("'"&amp;K123&amp;"'!A:L"),11,FALSE),"")))</f>
        <v/>
      </c>
      <c r="K123" s="17" t="str">
        <f t="shared" ca="1" si="37"/>
        <v>包5</v>
      </c>
    </row>
    <row r="124" spans="1:11" ht="18" customHeight="1" x14ac:dyDescent="0.15">
      <c r="A124" s="10">
        <f ca="1">COUNTIF(K$8:K124,K124)-1</f>
        <v>3</v>
      </c>
      <c r="B124" s="11" t="str">
        <f ca="1">IFERROR(VLOOKUP(A124,INDIRECT("'"&amp;K124&amp;"'!A:I"),3,FALSE),"")</f>
        <v/>
      </c>
      <c r="C124" s="11" t="str">
        <f ca="1">IFERROR(VLOOKUP(A124,INDIRECT("'"&amp;K124&amp;"'!A:I"),4,FALSE),"")</f>
        <v/>
      </c>
      <c r="D124" s="12" t="str">
        <f ca="1">IFERROR(VLOOKUP(A124,INDIRECT("'"&amp;K124&amp;"'!A:I"),5,FALSE),"")</f>
        <v/>
      </c>
      <c r="E124" s="11" t="str">
        <f ca="1">IF(B124="","",IF(VLOOKUP(A124,INDIRECT("'"&amp;K124&amp;"'!A:I"),6,FALSE)="","",IFERROR(VLOOKUP(A124,INDIRECT("'"&amp;K124&amp;"'!A:I"),6,FALSE),"")))</f>
        <v/>
      </c>
      <c r="F124" s="13" t="str">
        <f ca="1">IFERROR(VLOOKUP(A124,INDIRECT("'"&amp;K124&amp;"'!A:I"),7,FALSE),"")</f>
        <v/>
      </c>
      <c r="G124" s="14" t="str">
        <f ca="1">IFERROR(VLOOKUP(A124,INDIRECT("'"&amp;K124&amp;"'!A:I"),8,FALSE),"")</f>
        <v/>
      </c>
      <c r="H124" s="15" t="str">
        <f ca="1">IFERROR(VLOOKUP(A124,INDIRECT("'"&amp;K124&amp;"'!A:I"),9,FALSE),"")</f>
        <v/>
      </c>
      <c r="I124" s="19" t="str">
        <f ca="1">IFERROR(G124*H124,"")</f>
        <v/>
      </c>
      <c r="J124" s="20" t="str">
        <f ca="1">IF(B124="","",IF(VLOOKUP(A124,INDIRECT("'"&amp;K124&amp;"'!A:L"),11,FALSE)="","",IFERROR(VLOOKUP(A124,INDIRECT("'"&amp;K124&amp;"'!A:L"),11,FALSE),"")))</f>
        <v/>
      </c>
      <c r="K124" s="17" t="str">
        <f t="shared" ca="1" si="37"/>
        <v>包5</v>
      </c>
    </row>
    <row r="125" spans="1:11" ht="18" customHeight="1" x14ac:dyDescent="0.15">
      <c r="A125" s="10">
        <f ca="1">COUNTIF(K$8:K125,K125)-1</f>
        <v>4</v>
      </c>
      <c r="B125" s="11" t="str">
        <f ca="1">IFERROR(VLOOKUP(A125,INDIRECT("'"&amp;K125&amp;"'!A:I"),3,FALSE),"")</f>
        <v/>
      </c>
      <c r="C125" s="11" t="str">
        <f ca="1">IFERROR(VLOOKUP(A125,INDIRECT("'"&amp;K125&amp;"'!A:I"),4,FALSE),"")</f>
        <v/>
      </c>
      <c r="D125" s="12" t="str">
        <f ca="1">IFERROR(VLOOKUP(A125,INDIRECT("'"&amp;K125&amp;"'!A:I"),5,FALSE),"")</f>
        <v/>
      </c>
      <c r="E125" s="11" t="str">
        <f ca="1">IF(B125="","",IF(VLOOKUP(A125,INDIRECT("'"&amp;K125&amp;"'!A:I"),6,FALSE)="","",IFERROR(VLOOKUP(A125,INDIRECT("'"&amp;K125&amp;"'!A:I"),6,FALSE),"")))</f>
        <v/>
      </c>
      <c r="F125" s="13" t="str">
        <f ca="1">IFERROR(VLOOKUP(A125,INDIRECT("'"&amp;K125&amp;"'!A:I"),7,FALSE),"")</f>
        <v/>
      </c>
      <c r="G125" s="14" t="str">
        <f ca="1">IFERROR(VLOOKUP(A125,INDIRECT("'"&amp;K125&amp;"'!A:I"),8,FALSE),"")</f>
        <v/>
      </c>
      <c r="H125" s="15" t="str">
        <f ca="1">IFERROR(VLOOKUP(A125,INDIRECT("'"&amp;K125&amp;"'!A:I"),9,FALSE),"")</f>
        <v/>
      </c>
      <c r="I125" s="19" t="str">
        <f ca="1">IFERROR(G125*H125,"")</f>
        <v/>
      </c>
      <c r="J125" s="20" t="str">
        <f ca="1">IF(B125="","",IF(VLOOKUP(A125,INDIRECT("'"&amp;K125&amp;"'!A:L"),11,FALSE)="","",IFERROR(VLOOKUP(A125,INDIRECT("'"&amp;K125&amp;"'!A:L"),11,FALSE),"")))</f>
        <v/>
      </c>
      <c r="K125" s="17" t="str">
        <f t="shared" ca="1" si="37"/>
        <v>包5</v>
      </c>
    </row>
    <row r="126" spans="1:11" ht="18" customHeight="1" x14ac:dyDescent="0.15">
      <c r="A126" s="10">
        <f ca="1">COUNTIF(K$8:K126,K126)-1</f>
        <v>5</v>
      </c>
      <c r="B126" s="11" t="str">
        <f ca="1">IFERROR(VLOOKUP(A126,INDIRECT("'"&amp;K126&amp;"'!A:I"),3,FALSE),"")</f>
        <v/>
      </c>
      <c r="C126" s="11" t="str">
        <f ca="1">IFERROR(VLOOKUP(A126,INDIRECT("'"&amp;K126&amp;"'!A:I"),4,FALSE),"")</f>
        <v/>
      </c>
      <c r="D126" s="12" t="str">
        <f ca="1">IFERROR(VLOOKUP(A126,INDIRECT("'"&amp;K126&amp;"'!A:I"),5,FALSE),"")</f>
        <v/>
      </c>
      <c r="E126" s="11" t="str">
        <f ca="1">IF(B126="","",IF(VLOOKUP(A126,INDIRECT("'"&amp;K126&amp;"'!A:I"),6,FALSE)="","",IFERROR(VLOOKUP(A126,INDIRECT("'"&amp;K126&amp;"'!A:I"),6,FALSE),"")))</f>
        <v/>
      </c>
      <c r="F126" s="13" t="str">
        <f ca="1">IFERROR(VLOOKUP(A126,INDIRECT("'"&amp;K126&amp;"'!A:I"),7,FALSE),"")</f>
        <v/>
      </c>
      <c r="G126" s="14" t="str">
        <f ca="1">IFERROR(VLOOKUP(A126,INDIRECT("'"&amp;K126&amp;"'!A:I"),8,FALSE),"")</f>
        <v/>
      </c>
      <c r="H126" s="15" t="str">
        <f ca="1">IFERROR(VLOOKUP(A126,INDIRECT("'"&amp;K126&amp;"'!A:I"),9,FALSE),"")</f>
        <v/>
      </c>
      <c r="I126" s="19" t="str">
        <f ca="1">IFERROR(G126*H126,"")</f>
        <v/>
      </c>
      <c r="J126" s="20" t="str">
        <f ca="1">IF(B126="","",IF(VLOOKUP(A126,INDIRECT("'"&amp;K126&amp;"'!A:L"),11,FALSE)="","",IFERROR(VLOOKUP(A126,INDIRECT("'"&amp;K126&amp;"'!A:L"),11,FALSE),"")))</f>
        <v/>
      </c>
      <c r="K126" s="17" t="str">
        <f t="shared" ca="1" si="37"/>
        <v>包5</v>
      </c>
    </row>
    <row r="127" spans="1:11" ht="18" customHeight="1" x14ac:dyDescent="0.15">
      <c r="A127" s="10">
        <f ca="1">COUNTIF(K$8:K127,K127)-1</f>
        <v>6</v>
      </c>
      <c r="B127" s="11" t="str">
        <f t="shared" ref="B127:B132" ca="1" si="74">IFERROR(VLOOKUP(A127,INDIRECT("'"&amp;K127&amp;"'!A:I"),3,FALSE),"")</f>
        <v/>
      </c>
      <c r="C127" s="11" t="str">
        <f t="shared" ref="C127:C132" ca="1" si="75">IFERROR(VLOOKUP(A127,INDIRECT("'"&amp;K127&amp;"'!A:I"),4,FALSE),"")</f>
        <v/>
      </c>
      <c r="D127" s="12" t="str">
        <f t="shared" ref="D127:D132" ca="1" si="76">IFERROR(VLOOKUP(A127,INDIRECT("'"&amp;K127&amp;"'!A:I"),5,FALSE),"")</f>
        <v/>
      </c>
      <c r="E127" s="11" t="str">
        <f t="shared" ref="E127:E132" ca="1" si="77">IF(B127="","",IF(VLOOKUP(A127,INDIRECT("'"&amp;K127&amp;"'!A:I"),6,FALSE)="","",IFERROR(VLOOKUP(A127,INDIRECT("'"&amp;K127&amp;"'!A:I"),6,FALSE),"")))</f>
        <v/>
      </c>
      <c r="F127" s="13" t="str">
        <f t="shared" ref="F127:F132" ca="1" si="78">IFERROR(VLOOKUP(A127,INDIRECT("'"&amp;K127&amp;"'!A:I"),7,FALSE),"")</f>
        <v/>
      </c>
      <c r="G127" s="14" t="str">
        <f t="shared" ref="G127:G132" ca="1" si="79">IFERROR(VLOOKUP(A127,INDIRECT("'"&amp;K127&amp;"'!A:I"),8,FALSE),"")</f>
        <v/>
      </c>
      <c r="H127" s="15" t="str">
        <f t="shared" ref="H127:H132" ca="1" si="80">IFERROR(VLOOKUP(A127,INDIRECT("'"&amp;K127&amp;"'!A:I"),9,FALSE),"")</f>
        <v/>
      </c>
      <c r="I127" s="19" t="str">
        <f t="shared" ref="I127:I132" ca="1" si="81">IFERROR(G127*H127,"")</f>
        <v/>
      </c>
      <c r="J127" s="20" t="str">
        <f t="shared" ref="J127:J132" ca="1" si="82">IF(B127="","",IF(VLOOKUP(A127,INDIRECT("'"&amp;K127&amp;"'!A:L"),11,FALSE)="","",IFERROR(VLOOKUP(A127,INDIRECT("'"&amp;K127&amp;"'!A:L"),11,FALSE),"")))</f>
        <v/>
      </c>
      <c r="K127" s="17" t="str">
        <f t="shared" ca="1" si="37"/>
        <v>包5</v>
      </c>
    </row>
    <row r="128" spans="1:11" ht="18" customHeight="1" x14ac:dyDescent="0.15">
      <c r="A128" s="10">
        <f ca="1">COUNTIF(K$8:K128,K128)-1</f>
        <v>7</v>
      </c>
      <c r="B128" s="11" t="str">
        <f t="shared" ca="1" si="74"/>
        <v/>
      </c>
      <c r="C128" s="11" t="str">
        <f t="shared" ca="1" si="75"/>
        <v/>
      </c>
      <c r="D128" s="12" t="str">
        <f t="shared" ca="1" si="76"/>
        <v/>
      </c>
      <c r="E128" s="11" t="str">
        <f t="shared" ca="1" si="77"/>
        <v/>
      </c>
      <c r="F128" s="13" t="str">
        <f t="shared" ca="1" si="78"/>
        <v/>
      </c>
      <c r="G128" s="14" t="str">
        <f t="shared" ca="1" si="79"/>
        <v/>
      </c>
      <c r="H128" s="15" t="str">
        <f t="shared" ca="1" si="80"/>
        <v/>
      </c>
      <c r="I128" s="19" t="str">
        <f t="shared" ca="1" si="81"/>
        <v/>
      </c>
      <c r="J128" s="20" t="str">
        <f t="shared" ca="1" si="82"/>
        <v/>
      </c>
      <c r="K128" s="17" t="str">
        <f t="shared" ca="1" si="37"/>
        <v>包5</v>
      </c>
    </row>
    <row r="129" spans="1:11" ht="18" customHeight="1" x14ac:dyDescent="0.15">
      <c r="A129" s="10">
        <f ca="1">COUNTIF(K$8:K129,K129)-1</f>
        <v>8</v>
      </c>
      <c r="B129" s="11" t="str">
        <f t="shared" ca="1" si="74"/>
        <v/>
      </c>
      <c r="C129" s="11" t="str">
        <f t="shared" ca="1" si="75"/>
        <v/>
      </c>
      <c r="D129" s="12" t="str">
        <f t="shared" ca="1" si="76"/>
        <v/>
      </c>
      <c r="E129" s="11" t="str">
        <f t="shared" ca="1" si="77"/>
        <v/>
      </c>
      <c r="F129" s="13" t="str">
        <f t="shared" ca="1" si="78"/>
        <v/>
      </c>
      <c r="G129" s="14" t="str">
        <f t="shared" ca="1" si="79"/>
        <v/>
      </c>
      <c r="H129" s="15" t="str">
        <f t="shared" ca="1" si="80"/>
        <v/>
      </c>
      <c r="I129" s="19" t="str">
        <f t="shared" ca="1" si="81"/>
        <v/>
      </c>
      <c r="J129" s="20" t="str">
        <f t="shared" ca="1" si="82"/>
        <v/>
      </c>
      <c r="K129" s="17" t="str">
        <f t="shared" ca="1" si="37"/>
        <v>包5</v>
      </c>
    </row>
    <row r="130" spans="1:11" ht="18" customHeight="1" x14ac:dyDescent="0.15">
      <c r="A130" s="10">
        <f ca="1">COUNTIF(K$8:K130,K130)-1</f>
        <v>9</v>
      </c>
      <c r="B130" s="11" t="str">
        <f t="shared" ca="1" si="74"/>
        <v/>
      </c>
      <c r="C130" s="11" t="str">
        <f t="shared" ca="1" si="75"/>
        <v/>
      </c>
      <c r="D130" s="12" t="str">
        <f t="shared" ca="1" si="76"/>
        <v/>
      </c>
      <c r="E130" s="11" t="str">
        <f t="shared" ca="1" si="77"/>
        <v/>
      </c>
      <c r="F130" s="13" t="str">
        <f t="shared" ca="1" si="78"/>
        <v/>
      </c>
      <c r="G130" s="14" t="str">
        <f t="shared" ca="1" si="79"/>
        <v/>
      </c>
      <c r="H130" s="15" t="str">
        <f t="shared" ca="1" si="80"/>
        <v/>
      </c>
      <c r="I130" s="19" t="str">
        <f t="shared" ca="1" si="81"/>
        <v/>
      </c>
      <c r="J130" s="20" t="str">
        <f t="shared" ca="1" si="82"/>
        <v/>
      </c>
      <c r="K130" s="17" t="str">
        <f t="shared" ca="1" si="37"/>
        <v>包5</v>
      </c>
    </row>
    <row r="131" spans="1:11" ht="18" customHeight="1" x14ac:dyDescent="0.15">
      <c r="A131" s="10">
        <f ca="1">COUNTIF(K$8:K131,K131)-1</f>
        <v>10</v>
      </c>
      <c r="B131" s="11" t="str">
        <f t="shared" ca="1" si="74"/>
        <v/>
      </c>
      <c r="C131" s="11" t="str">
        <f t="shared" ca="1" si="75"/>
        <v/>
      </c>
      <c r="D131" s="12" t="str">
        <f t="shared" ca="1" si="76"/>
        <v/>
      </c>
      <c r="E131" s="11" t="str">
        <f t="shared" ca="1" si="77"/>
        <v/>
      </c>
      <c r="F131" s="13" t="str">
        <f t="shared" ca="1" si="78"/>
        <v/>
      </c>
      <c r="G131" s="14" t="str">
        <f t="shared" ca="1" si="79"/>
        <v/>
      </c>
      <c r="H131" s="15" t="str">
        <f t="shared" ca="1" si="80"/>
        <v/>
      </c>
      <c r="I131" s="19" t="str">
        <f t="shared" ca="1" si="81"/>
        <v/>
      </c>
      <c r="J131" s="20" t="str">
        <f t="shared" ca="1" si="82"/>
        <v/>
      </c>
      <c r="K131" s="17" t="str">
        <f t="shared" ca="1" si="37"/>
        <v>包5</v>
      </c>
    </row>
    <row r="132" spans="1:11" ht="18" customHeight="1" x14ac:dyDescent="0.15">
      <c r="A132" s="10">
        <f ca="1">COUNTIF(K$8:K132,K132)-1</f>
        <v>11</v>
      </c>
      <c r="B132" s="11" t="str">
        <f t="shared" ca="1" si="74"/>
        <v/>
      </c>
      <c r="C132" s="11" t="str">
        <f t="shared" ca="1" si="75"/>
        <v/>
      </c>
      <c r="D132" s="12" t="str">
        <f t="shared" ca="1" si="76"/>
        <v/>
      </c>
      <c r="E132" s="11" t="str">
        <f t="shared" ca="1" si="77"/>
        <v/>
      </c>
      <c r="F132" s="13" t="str">
        <f t="shared" ca="1" si="78"/>
        <v/>
      </c>
      <c r="G132" s="14" t="str">
        <f t="shared" ca="1" si="79"/>
        <v/>
      </c>
      <c r="H132" s="15" t="str">
        <f t="shared" ca="1" si="80"/>
        <v/>
      </c>
      <c r="I132" s="19" t="str">
        <f t="shared" ca="1" si="81"/>
        <v/>
      </c>
      <c r="J132" s="20" t="str">
        <f t="shared" ca="1" si="82"/>
        <v/>
      </c>
      <c r="K132" s="17" t="str">
        <f t="shared" ca="1" si="37"/>
        <v>包5</v>
      </c>
    </row>
    <row r="133" spans="1:11" ht="18" customHeight="1" x14ac:dyDescent="0.15">
      <c r="A133" s="10">
        <f ca="1">COUNTIF(K$8:K133,K133)-1</f>
        <v>12</v>
      </c>
      <c r="B133" s="11" t="str">
        <f t="shared" ref="B133:B158" ca="1" si="83">IFERROR(VLOOKUP(A133,INDIRECT("'"&amp;K133&amp;"'!A:I"),3,FALSE),"")</f>
        <v/>
      </c>
      <c r="C133" s="11" t="str">
        <f t="shared" ref="C133:C158" ca="1" si="84">IFERROR(VLOOKUP(A133,INDIRECT("'"&amp;K133&amp;"'!A:I"),4,FALSE),"")</f>
        <v/>
      </c>
      <c r="D133" s="12" t="str">
        <f t="shared" ref="D133:D158" ca="1" si="85">IFERROR(VLOOKUP(A133,INDIRECT("'"&amp;K133&amp;"'!A:I"),5,FALSE),"")</f>
        <v/>
      </c>
      <c r="E133" s="11" t="str">
        <f t="shared" ref="E133:E158" ca="1" si="86">IF(B133="","",IF(VLOOKUP(A133,INDIRECT("'"&amp;K133&amp;"'!A:I"),6,FALSE)="","",IFERROR(VLOOKUP(A133,INDIRECT("'"&amp;K133&amp;"'!A:I"),6,FALSE),"")))</f>
        <v/>
      </c>
      <c r="F133" s="13" t="str">
        <f t="shared" ref="F133:F158" ca="1" si="87">IFERROR(VLOOKUP(A133,INDIRECT("'"&amp;K133&amp;"'!A:I"),7,FALSE),"")</f>
        <v/>
      </c>
      <c r="G133" s="14" t="str">
        <f t="shared" ref="G133:G158" ca="1" si="88">IFERROR(VLOOKUP(A133,INDIRECT("'"&amp;K133&amp;"'!A:I"),8,FALSE),"")</f>
        <v/>
      </c>
      <c r="H133" s="15" t="str">
        <f t="shared" ref="H133:H158" ca="1" si="89">IFERROR(VLOOKUP(A133,INDIRECT("'"&amp;K133&amp;"'!A:I"),9,FALSE),"")</f>
        <v/>
      </c>
      <c r="I133" s="19" t="str">
        <f t="shared" ref="I133:I158" ca="1" si="90">IFERROR(G133*H133,"")</f>
        <v/>
      </c>
      <c r="J133" s="20" t="str">
        <f t="shared" ref="J133:J158" ca="1" si="91">IF(B133="","",IF(VLOOKUP(A133,INDIRECT("'"&amp;K133&amp;"'!A:L"),11,FALSE)="","",IFERROR(VLOOKUP(A133,INDIRECT("'"&amp;K133&amp;"'!A:L"),11,FALSE),"")))</f>
        <v/>
      </c>
      <c r="K133" s="17" t="str">
        <f t="shared" ca="1" si="37"/>
        <v>包5</v>
      </c>
    </row>
    <row r="134" spans="1:11" ht="18" customHeight="1" x14ac:dyDescent="0.15">
      <c r="A134" s="10">
        <f ca="1">COUNTIF(K$8:K134,K134)-1</f>
        <v>13</v>
      </c>
      <c r="B134" s="11" t="str">
        <f ca="1">IFERROR(VLOOKUP(A134,INDIRECT("'"&amp;K134&amp;"'!A:I"),3,FALSE),"")</f>
        <v/>
      </c>
      <c r="C134" s="11" t="str">
        <f ca="1">IFERROR(VLOOKUP(A134,INDIRECT("'"&amp;K134&amp;"'!A:I"),4,FALSE),"")</f>
        <v/>
      </c>
      <c r="D134" s="12" t="str">
        <f ca="1">IFERROR(VLOOKUP(A134,INDIRECT("'"&amp;K134&amp;"'!A:I"),5,FALSE),"")</f>
        <v/>
      </c>
      <c r="E134" s="11" t="str">
        <f ca="1">IF(B134="","",IF(VLOOKUP(A134,INDIRECT("'"&amp;K134&amp;"'!A:I"),6,FALSE)="","",IFERROR(VLOOKUP(A134,INDIRECT("'"&amp;K134&amp;"'!A:I"),6,FALSE),"")))</f>
        <v/>
      </c>
      <c r="F134" s="13" t="str">
        <f ca="1">IFERROR(VLOOKUP(A134,INDIRECT("'"&amp;K134&amp;"'!A:I"),7,FALSE),"")</f>
        <v/>
      </c>
      <c r="G134" s="14" t="str">
        <f ca="1">IFERROR(VLOOKUP(A134,INDIRECT("'"&amp;K134&amp;"'!A:I"),8,FALSE),"")</f>
        <v/>
      </c>
      <c r="H134" s="15" t="str">
        <f ca="1">IFERROR(VLOOKUP(A134,INDIRECT("'"&amp;K134&amp;"'!A:I"),9,FALSE),"")</f>
        <v/>
      </c>
      <c r="I134" s="19" t="str">
        <f ca="1">IFERROR(G134*H134,"")</f>
        <v/>
      </c>
      <c r="J134" s="20" t="str">
        <f ca="1">IF(B134="","",IF(VLOOKUP(A134,INDIRECT("'"&amp;K134&amp;"'!A:L"),11,FALSE)="","",IFERROR(VLOOKUP(A134,INDIRECT("'"&amp;K134&amp;"'!A:L"),11,FALSE),"")))</f>
        <v/>
      </c>
      <c r="K134" s="17" t="str">
        <f t="shared" ca="1" si="37"/>
        <v>包5</v>
      </c>
    </row>
    <row r="135" spans="1:11" ht="18" customHeight="1" x14ac:dyDescent="0.15">
      <c r="A135" s="10">
        <f ca="1">COUNTIF(K$8:K135,K135)-1</f>
        <v>14</v>
      </c>
      <c r="B135" s="11" t="str">
        <f ca="1">IFERROR(VLOOKUP(A135,INDIRECT("'"&amp;K135&amp;"'!A:I"),3,FALSE),"")</f>
        <v/>
      </c>
      <c r="C135" s="11" t="str">
        <f ca="1">IFERROR(VLOOKUP(A135,INDIRECT("'"&amp;K135&amp;"'!A:I"),4,FALSE),"")</f>
        <v/>
      </c>
      <c r="D135" s="12" t="str">
        <f ca="1">IFERROR(VLOOKUP(A135,INDIRECT("'"&amp;K135&amp;"'!A:I"),5,FALSE),"")</f>
        <v/>
      </c>
      <c r="E135" s="11" t="str">
        <f ca="1">IF(B135="","",IF(VLOOKUP(A135,INDIRECT("'"&amp;K135&amp;"'!A:I"),6,FALSE)="","",IFERROR(VLOOKUP(A135,INDIRECT("'"&amp;K135&amp;"'!A:I"),6,FALSE),"")))</f>
        <v/>
      </c>
      <c r="F135" s="13" t="str">
        <f ca="1">IFERROR(VLOOKUP(A135,INDIRECT("'"&amp;K135&amp;"'!A:I"),7,FALSE),"")</f>
        <v/>
      </c>
      <c r="G135" s="14" t="str">
        <f ca="1">IFERROR(VLOOKUP(A135,INDIRECT("'"&amp;K135&amp;"'!A:I"),8,FALSE),"")</f>
        <v/>
      </c>
      <c r="H135" s="15" t="str">
        <f ca="1">IFERROR(VLOOKUP(A135,INDIRECT("'"&amp;K135&amp;"'!A:I"),9,FALSE),"")</f>
        <v/>
      </c>
      <c r="I135" s="19" t="str">
        <f ca="1">IFERROR(G135*H135,"")</f>
        <v/>
      </c>
      <c r="J135" s="20" t="str">
        <f ca="1">IF(B135="","",IF(VLOOKUP(A135,INDIRECT("'"&amp;K135&amp;"'!A:L"),11,FALSE)="","",IFERROR(VLOOKUP(A135,INDIRECT("'"&amp;K135&amp;"'!A:L"),11,FALSE),"")))</f>
        <v/>
      </c>
      <c r="K135" s="17" t="str">
        <f t="shared" ca="1" si="37"/>
        <v>包5</v>
      </c>
    </row>
    <row r="136" spans="1:11" ht="18" customHeight="1" x14ac:dyDescent="0.15">
      <c r="A136" s="10">
        <f ca="1">COUNTIF(K$8:K136,K136)-1</f>
        <v>15</v>
      </c>
      <c r="B136" s="11" t="str">
        <f ca="1">IFERROR(VLOOKUP(A136,INDIRECT("'"&amp;K136&amp;"'!A:I"),3,FALSE),"")</f>
        <v/>
      </c>
      <c r="C136" s="11" t="str">
        <f ca="1">IFERROR(VLOOKUP(A136,INDIRECT("'"&amp;K136&amp;"'!A:I"),4,FALSE),"")</f>
        <v/>
      </c>
      <c r="D136" s="12" t="str">
        <f ca="1">IFERROR(VLOOKUP(A136,INDIRECT("'"&amp;K136&amp;"'!A:I"),5,FALSE),"")</f>
        <v/>
      </c>
      <c r="E136" s="11" t="str">
        <f ca="1">IF(B136="","",IF(VLOOKUP(A136,INDIRECT("'"&amp;K136&amp;"'!A:I"),6,FALSE)="","",IFERROR(VLOOKUP(A136,INDIRECT("'"&amp;K136&amp;"'!A:I"),6,FALSE),"")))</f>
        <v/>
      </c>
      <c r="F136" s="13" t="str">
        <f ca="1">IFERROR(VLOOKUP(A136,INDIRECT("'"&amp;K136&amp;"'!A:I"),7,FALSE),"")</f>
        <v/>
      </c>
      <c r="G136" s="14" t="str">
        <f ca="1">IFERROR(VLOOKUP(A136,INDIRECT("'"&amp;K136&amp;"'!A:I"),8,FALSE),"")</f>
        <v/>
      </c>
      <c r="H136" s="15" t="str">
        <f ca="1">IFERROR(VLOOKUP(A136,INDIRECT("'"&amp;K136&amp;"'!A:I"),9,FALSE),"")</f>
        <v/>
      </c>
      <c r="I136" s="19" t="str">
        <f ca="1">IFERROR(G136*H136,"")</f>
        <v/>
      </c>
      <c r="J136" s="20" t="str">
        <f ca="1">IF(B136="","",IF(VLOOKUP(A136,INDIRECT("'"&amp;K136&amp;"'!A:L"),11,FALSE)="","",IFERROR(VLOOKUP(A136,INDIRECT("'"&amp;K136&amp;"'!A:L"),11,FALSE),"")))</f>
        <v/>
      </c>
      <c r="K136" s="17" t="str">
        <f t="shared" ca="1" si="37"/>
        <v>包5</v>
      </c>
    </row>
    <row r="137" spans="1:11" ht="18" customHeight="1" x14ac:dyDescent="0.15">
      <c r="A137" s="10">
        <f ca="1">COUNTIF(K$8:K137,K137)-1</f>
        <v>16</v>
      </c>
      <c r="B137" s="11" t="str">
        <f ca="1">IFERROR(VLOOKUP(A137,INDIRECT("'"&amp;K137&amp;"'!A:I"),3,FALSE),"")</f>
        <v/>
      </c>
      <c r="C137" s="11" t="str">
        <f ca="1">IFERROR(VLOOKUP(A137,INDIRECT("'"&amp;K137&amp;"'!A:I"),4,FALSE),"")</f>
        <v/>
      </c>
      <c r="D137" s="12" t="str">
        <f ca="1">IFERROR(VLOOKUP(A137,INDIRECT("'"&amp;K137&amp;"'!A:I"),5,FALSE),"")</f>
        <v/>
      </c>
      <c r="E137" s="11" t="str">
        <f ca="1">IF(B137="","",IF(VLOOKUP(A137,INDIRECT("'"&amp;K137&amp;"'!A:I"),6,FALSE)="","",IFERROR(VLOOKUP(A137,INDIRECT("'"&amp;K137&amp;"'!A:I"),6,FALSE),"")))</f>
        <v/>
      </c>
      <c r="F137" s="13" t="str">
        <f ca="1">IFERROR(VLOOKUP(A137,INDIRECT("'"&amp;K137&amp;"'!A:I"),7,FALSE),"")</f>
        <v/>
      </c>
      <c r="G137" s="14" t="str">
        <f ca="1">IFERROR(VLOOKUP(A137,INDIRECT("'"&amp;K137&amp;"'!A:I"),8,FALSE),"")</f>
        <v/>
      </c>
      <c r="H137" s="15" t="str">
        <f ca="1">IFERROR(VLOOKUP(A137,INDIRECT("'"&amp;K137&amp;"'!A:I"),9,FALSE),"")</f>
        <v/>
      </c>
      <c r="I137" s="19" t="str">
        <f ca="1">IFERROR(G137*H137,"")</f>
        <v/>
      </c>
      <c r="J137" s="20" t="str">
        <f ca="1">IF(B137="","",IF(VLOOKUP(A137,INDIRECT("'"&amp;K137&amp;"'!A:L"),11,FALSE)="","",IFERROR(VLOOKUP(A137,INDIRECT("'"&amp;K137&amp;"'!A:L"),11,FALSE),"")))</f>
        <v/>
      </c>
      <c r="K137" s="17" t="str">
        <f t="shared" ca="1" si="37"/>
        <v>包5</v>
      </c>
    </row>
    <row r="138" spans="1:11" ht="18" customHeight="1" x14ac:dyDescent="0.15">
      <c r="A138" s="10">
        <f ca="1">COUNTIF(K$8:K138,K138)-1</f>
        <v>17</v>
      </c>
      <c r="B138" s="11" t="str">
        <f ca="1">IFERROR(VLOOKUP(A138,INDIRECT("'"&amp;K138&amp;"'!A:I"),3,FALSE),"")</f>
        <v/>
      </c>
      <c r="C138" s="11" t="str">
        <f ca="1">IFERROR(VLOOKUP(A138,INDIRECT("'"&amp;K138&amp;"'!A:I"),4,FALSE),"")</f>
        <v/>
      </c>
      <c r="D138" s="12" t="str">
        <f ca="1">IFERROR(VLOOKUP(A138,INDIRECT("'"&amp;K138&amp;"'!A:I"),5,FALSE),"")</f>
        <v/>
      </c>
      <c r="E138" s="11" t="str">
        <f ca="1">IF(B138="","",IF(VLOOKUP(A138,INDIRECT("'"&amp;K138&amp;"'!A:I"),6,FALSE)="","",IFERROR(VLOOKUP(A138,INDIRECT("'"&amp;K138&amp;"'!A:I"),6,FALSE),"")))</f>
        <v/>
      </c>
      <c r="F138" s="13" t="str">
        <f ca="1">IFERROR(VLOOKUP(A138,INDIRECT("'"&amp;K138&amp;"'!A:I"),7,FALSE),"")</f>
        <v/>
      </c>
      <c r="G138" s="14" t="str">
        <f ca="1">IFERROR(VLOOKUP(A138,INDIRECT("'"&amp;K138&amp;"'!A:I"),8,FALSE),"")</f>
        <v/>
      </c>
      <c r="H138" s="15" t="str">
        <f ca="1">IFERROR(VLOOKUP(A138,INDIRECT("'"&amp;K138&amp;"'!A:I"),9,FALSE),"")</f>
        <v/>
      </c>
      <c r="I138" s="19" t="str">
        <f ca="1">IFERROR(G138*H138,"")</f>
        <v/>
      </c>
      <c r="J138" s="20" t="str">
        <f ca="1">IF(B138="","",IF(VLOOKUP(A138,INDIRECT("'"&amp;K138&amp;"'!A:L"),11,FALSE)="","",IFERROR(VLOOKUP(A138,INDIRECT("'"&amp;K138&amp;"'!A:L"),11,FALSE),"")))</f>
        <v/>
      </c>
      <c r="K138" s="17" t="str">
        <f t="shared" ca="1" si="37"/>
        <v>包5</v>
      </c>
    </row>
    <row r="139" spans="1:11" ht="18" customHeight="1" x14ac:dyDescent="0.15">
      <c r="A139" s="10">
        <f ca="1">COUNTIF(K$8:K139,K139)-1</f>
        <v>18</v>
      </c>
      <c r="B139" s="11" t="str">
        <f t="shared" ref="B139:B145" ca="1" si="92">IFERROR(VLOOKUP(A139,INDIRECT("'"&amp;K139&amp;"'!A:I"),3,FALSE),"")</f>
        <v/>
      </c>
      <c r="C139" s="11" t="str">
        <f t="shared" ref="C139:C145" ca="1" si="93">IFERROR(VLOOKUP(A139,INDIRECT("'"&amp;K139&amp;"'!A:I"),4,FALSE),"")</f>
        <v/>
      </c>
      <c r="D139" s="12" t="str">
        <f t="shared" ref="D139:D145" ca="1" si="94">IFERROR(VLOOKUP(A139,INDIRECT("'"&amp;K139&amp;"'!A:I"),5,FALSE),"")</f>
        <v/>
      </c>
      <c r="E139" s="11" t="str">
        <f t="shared" ref="E139:E145" ca="1" si="95">IF(B139="","",IF(VLOOKUP(A139,INDIRECT("'"&amp;K139&amp;"'!A:I"),6,FALSE)="","",IFERROR(VLOOKUP(A139,INDIRECT("'"&amp;K139&amp;"'!A:I"),6,FALSE),"")))</f>
        <v/>
      </c>
      <c r="F139" s="13" t="str">
        <f t="shared" ref="F139:F145" ca="1" si="96">IFERROR(VLOOKUP(A139,INDIRECT("'"&amp;K139&amp;"'!A:I"),7,FALSE),"")</f>
        <v/>
      </c>
      <c r="G139" s="14" t="str">
        <f t="shared" ref="G139:G145" ca="1" si="97">IFERROR(VLOOKUP(A139,INDIRECT("'"&amp;K139&amp;"'!A:I"),8,FALSE),"")</f>
        <v/>
      </c>
      <c r="H139" s="15" t="str">
        <f t="shared" ref="H139:H145" ca="1" si="98">IFERROR(VLOOKUP(A139,INDIRECT("'"&amp;K139&amp;"'!A:I"),9,FALSE),"")</f>
        <v/>
      </c>
      <c r="I139" s="19" t="str">
        <f t="shared" ref="I139:I145" ca="1" si="99">IFERROR(G139*H139,"")</f>
        <v/>
      </c>
      <c r="J139" s="20" t="str">
        <f t="shared" ref="J139:J145" ca="1" si="100">IF(B139="","",IF(VLOOKUP(A139,INDIRECT("'"&amp;K139&amp;"'!A:L"),11,FALSE)="","",IFERROR(VLOOKUP(A139,INDIRECT("'"&amp;K139&amp;"'!A:L"),11,FALSE),"")))</f>
        <v/>
      </c>
      <c r="K139" s="17" t="str">
        <f t="shared" ca="1" si="37"/>
        <v>包5</v>
      </c>
    </row>
    <row r="140" spans="1:11" ht="18" customHeight="1" x14ac:dyDescent="0.15">
      <c r="A140" s="10">
        <f ca="1">COUNTIF(K$8:K140,K140)-1</f>
        <v>19</v>
      </c>
      <c r="B140" s="11" t="str">
        <f t="shared" ca="1" si="92"/>
        <v/>
      </c>
      <c r="C140" s="11" t="str">
        <f t="shared" ca="1" si="93"/>
        <v/>
      </c>
      <c r="D140" s="12" t="str">
        <f t="shared" ca="1" si="94"/>
        <v/>
      </c>
      <c r="E140" s="11" t="str">
        <f t="shared" ca="1" si="95"/>
        <v/>
      </c>
      <c r="F140" s="13" t="str">
        <f t="shared" ca="1" si="96"/>
        <v/>
      </c>
      <c r="G140" s="14" t="str">
        <f t="shared" ca="1" si="97"/>
        <v/>
      </c>
      <c r="H140" s="15" t="str">
        <f t="shared" ca="1" si="98"/>
        <v/>
      </c>
      <c r="I140" s="19" t="str">
        <f t="shared" ca="1" si="99"/>
        <v/>
      </c>
      <c r="J140" s="20" t="str">
        <f t="shared" ca="1" si="100"/>
        <v/>
      </c>
      <c r="K140" s="17" t="str">
        <f t="shared" ca="1" si="37"/>
        <v>包5</v>
      </c>
    </row>
    <row r="141" spans="1:11" ht="18" customHeight="1" x14ac:dyDescent="0.15">
      <c r="A141" s="10">
        <f ca="1">COUNTIF(K$8:K141,K141)-1</f>
        <v>20</v>
      </c>
      <c r="B141" s="11" t="str">
        <f t="shared" ca="1" si="92"/>
        <v/>
      </c>
      <c r="C141" s="11" t="str">
        <f t="shared" ca="1" si="93"/>
        <v/>
      </c>
      <c r="D141" s="12" t="str">
        <f t="shared" ca="1" si="94"/>
        <v/>
      </c>
      <c r="E141" s="11" t="str">
        <f t="shared" ca="1" si="95"/>
        <v/>
      </c>
      <c r="F141" s="13" t="str">
        <f t="shared" ca="1" si="96"/>
        <v/>
      </c>
      <c r="G141" s="14" t="str">
        <f t="shared" ca="1" si="97"/>
        <v/>
      </c>
      <c r="H141" s="15" t="str">
        <f t="shared" ca="1" si="98"/>
        <v/>
      </c>
      <c r="I141" s="19" t="str">
        <f t="shared" ca="1" si="99"/>
        <v/>
      </c>
      <c r="J141" s="20" t="str">
        <f t="shared" ca="1" si="100"/>
        <v/>
      </c>
      <c r="K141" s="17" t="str">
        <f t="shared" ca="1" si="37"/>
        <v>包5</v>
      </c>
    </row>
    <row r="142" spans="1:11" ht="18" customHeight="1" x14ac:dyDescent="0.15">
      <c r="A142" s="10">
        <f ca="1">COUNTIF(K$8:K142,K142)-1</f>
        <v>21</v>
      </c>
      <c r="B142" s="11" t="str">
        <f t="shared" ca="1" si="92"/>
        <v/>
      </c>
      <c r="C142" s="11" t="str">
        <f t="shared" ca="1" si="93"/>
        <v/>
      </c>
      <c r="D142" s="12" t="str">
        <f t="shared" ca="1" si="94"/>
        <v/>
      </c>
      <c r="E142" s="11" t="str">
        <f t="shared" ca="1" si="95"/>
        <v/>
      </c>
      <c r="F142" s="13" t="str">
        <f t="shared" ca="1" si="96"/>
        <v/>
      </c>
      <c r="G142" s="14" t="str">
        <f t="shared" ca="1" si="97"/>
        <v/>
      </c>
      <c r="H142" s="15" t="str">
        <f t="shared" ca="1" si="98"/>
        <v/>
      </c>
      <c r="I142" s="19" t="str">
        <f t="shared" ca="1" si="99"/>
        <v/>
      </c>
      <c r="J142" s="20" t="str">
        <f t="shared" ca="1" si="100"/>
        <v/>
      </c>
      <c r="K142" s="17" t="str">
        <f t="shared" ca="1" si="37"/>
        <v>包5</v>
      </c>
    </row>
    <row r="143" spans="1:11" ht="18" customHeight="1" x14ac:dyDescent="0.15">
      <c r="A143" s="10">
        <f ca="1">COUNTIF(K$8:K143,K143)-1</f>
        <v>22</v>
      </c>
      <c r="B143" s="11" t="str">
        <f t="shared" ca="1" si="92"/>
        <v/>
      </c>
      <c r="C143" s="11" t="str">
        <f t="shared" ca="1" si="93"/>
        <v/>
      </c>
      <c r="D143" s="12" t="str">
        <f t="shared" ca="1" si="94"/>
        <v/>
      </c>
      <c r="E143" s="11" t="str">
        <f t="shared" ca="1" si="95"/>
        <v/>
      </c>
      <c r="F143" s="13" t="str">
        <f t="shared" ca="1" si="96"/>
        <v/>
      </c>
      <c r="G143" s="14" t="str">
        <f t="shared" ca="1" si="97"/>
        <v/>
      </c>
      <c r="H143" s="15" t="str">
        <f t="shared" ca="1" si="98"/>
        <v/>
      </c>
      <c r="I143" s="19" t="str">
        <f t="shared" ca="1" si="99"/>
        <v/>
      </c>
      <c r="J143" s="20" t="str">
        <f t="shared" ca="1" si="100"/>
        <v/>
      </c>
      <c r="K143" s="17" t="str">
        <f t="shared" ca="1" si="37"/>
        <v>包5</v>
      </c>
    </row>
    <row r="144" spans="1:11" ht="18" customHeight="1" x14ac:dyDescent="0.15">
      <c r="A144" s="10">
        <f ca="1">COUNTIF(K$8:K144,K144)-1</f>
        <v>23</v>
      </c>
      <c r="B144" s="11" t="str">
        <f t="shared" ca="1" si="92"/>
        <v/>
      </c>
      <c r="C144" s="11" t="str">
        <f t="shared" ca="1" si="93"/>
        <v/>
      </c>
      <c r="D144" s="12" t="str">
        <f t="shared" ca="1" si="94"/>
        <v/>
      </c>
      <c r="E144" s="11" t="str">
        <f t="shared" ca="1" si="95"/>
        <v/>
      </c>
      <c r="F144" s="13" t="str">
        <f t="shared" ca="1" si="96"/>
        <v/>
      </c>
      <c r="G144" s="14" t="str">
        <f t="shared" ca="1" si="97"/>
        <v/>
      </c>
      <c r="H144" s="15" t="str">
        <f t="shared" ca="1" si="98"/>
        <v/>
      </c>
      <c r="I144" s="19" t="str">
        <f t="shared" ca="1" si="99"/>
        <v/>
      </c>
      <c r="J144" s="20" t="str">
        <f t="shared" ca="1" si="100"/>
        <v/>
      </c>
      <c r="K144" s="17" t="str">
        <f t="shared" ca="1" si="37"/>
        <v>包5</v>
      </c>
    </row>
    <row r="145" spans="1:11" ht="18" customHeight="1" x14ac:dyDescent="0.15">
      <c r="A145" s="10">
        <f ca="1">COUNTIF(K$8:K145,K145)-1</f>
        <v>24</v>
      </c>
      <c r="B145" s="11" t="str">
        <f t="shared" ca="1" si="92"/>
        <v/>
      </c>
      <c r="C145" s="11" t="str">
        <f t="shared" ca="1" si="93"/>
        <v/>
      </c>
      <c r="D145" s="12" t="str">
        <f t="shared" ca="1" si="94"/>
        <v/>
      </c>
      <c r="E145" s="11" t="str">
        <f t="shared" ca="1" si="95"/>
        <v/>
      </c>
      <c r="F145" s="13" t="str">
        <f t="shared" ca="1" si="96"/>
        <v/>
      </c>
      <c r="G145" s="14" t="str">
        <f t="shared" ca="1" si="97"/>
        <v/>
      </c>
      <c r="H145" s="15" t="str">
        <f t="shared" ca="1" si="98"/>
        <v/>
      </c>
      <c r="I145" s="19" t="str">
        <f t="shared" ca="1" si="99"/>
        <v/>
      </c>
      <c r="J145" s="20" t="str">
        <f t="shared" ca="1" si="100"/>
        <v/>
      </c>
      <c r="K145" s="17" t="str">
        <f t="shared" ca="1" si="37"/>
        <v>包5</v>
      </c>
    </row>
    <row r="146" spans="1:11" ht="18" customHeight="1" x14ac:dyDescent="0.15">
      <c r="A146" s="10">
        <f ca="1">COUNTIF(K$8:K146,K146)-1</f>
        <v>25</v>
      </c>
      <c r="B146" s="11" t="str">
        <f t="shared" ca="1" si="83"/>
        <v/>
      </c>
      <c r="C146" s="11" t="str">
        <f t="shared" ca="1" si="84"/>
        <v/>
      </c>
      <c r="D146" s="12" t="str">
        <f t="shared" ca="1" si="85"/>
        <v/>
      </c>
      <c r="E146" s="11" t="str">
        <f t="shared" ca="1" si="86"/>
        <v/>
      </c>
      <c r="F146" s="13" t="str">
        <f t="shared" ca="1" si="87"/>
        <v/>
      </c>
      <c r="G146" s="14" t="str">
        <f t="shared" ca="1" si="88"/>
        <v/>
      </c>
      <c r="H146" s="15" t="str">
        <f t="shared" ca="1" si="89"/>
        <v/>
      </c>
      <c r="I146" s="19" t="str">
        <f t="shared" ca="1" si="90"/>
        <v/>
      </c>
      <c r="J146" s="20" t="str">
        <f t="shared" ca="1" si="91"/>
        <v/>
      </c>
      <c r="K146" s="17" t="str">
        <f t="shared" ca="1" si="37"/>
        <v>包5</v>
      </c>
    </row>
    <row r="147" spans="1:11" ht="18" customHeight="1" x14ac:dyDescent="0.15">
      <c r="A147" s="10">
        <f ca="1">COUNTIF(K$8:K147,K147)-1</f>
        <v>26</v>
      </c>
      <c r="B147" s="11" t="str">
        <f t="shared" ca="1" si="83"/>
        <v/>
      </c>
      <c r="C147" s="11" t="str">
        <f t="shared" ca="1" si="84"/>
        <v/>
      </c>
      <c r="D147" s="12" t="str">
        <f t="shared" ca="1" si="85"/>
        <v/>
      </c>
      <c r="E147" s="11" t="str">
        <f t="shared" ca="1" si="86"/>
        <v/>
      </c>
      <c r="F147" s="13" t="str">
        <f t="shared" ca="1" si="87"/>
        <v/>
      </c>
      <c r="G147" s="14" t="str">
        <f t="shared" ca="1" si="88"/>
        <v/>
      </c>
      <c r="H147" s="15" t="str">
        <f t="shared" ca="1" si="89"/>
        <v/>
      </c>
      <c r="I147" s="19" t="str">
        <f t="shared" ca="1" si="90"/>
        <v/>
      </c>
      <c r="J147" s="20" t="str">
        <f t="shared" ca="1" si="91"/>
        <v/>
      </c>
      <c r="K147" s="17" t="str">
        <f t="shared" ca="1" si="37"/>
        <v>包5</v>
      </c>
    </row>
    <row r="148" spans="1:11" ht="18" customHeight="1" x14ac:dyDescent="0.15">
      <c r="A148" s="10">
        <f ca="1">COUNTIF(K$8:K148,K148)-1</f>
        <v>27</v>
      </c>
      <c r="B148" s="11" t="str">
        <f t="shared" ca="1" si="83"/>
        <v/>
      </c>
      <c r="C148" s="11" t="str">
        <f t="shared" ca="1" si="84"/>
        <v/>
      </c>
      <c r="D148" s="12" t="str">
        <f t="shared" ca="1" si="85"/>
        <v/>
      </c>
      <c r="E148" s="11" t="str">
        <f t="shared" ca="1" si="86"/>
        <v/>
      </c>
      <c r="F148" s="13" t="str">
        <f t="shared" ca="1" si="87"/>
        <v/>
      </c>
      <c r="G148" s="14" t="str">
        <f t="shared" ca="1" si="88"/>
        <v/>
      </c>
      <c r="H148" s="15" t="str">
        <f t="shared" ca="1" si="89"/>
        <v/>
      </c>
      <c r="I148" s="19" t="str">
        <f t="shared" ca="1" si="90"/>
        <v/>
      </c>
      <c r="J148" s="20" t="str">
        <f t="shared" ca="1" si="91"/>
        <v/>
      </c>
      <c r="K148" s="17" t="str">
        <f t="shared" ca="1" si="37"/>
        <v>包5</v>
      </c>
    </row>
    <row r="149" spans="1:11" ht="18" customHeight="1" x14ac:dyDescent="0.15">
      <c r="A149" s="10">
        <f ca="1">COUNTIF(K$8:K149,K149)-1</f>
        <v>28</v>
      </c>
      <c r="B149" s="11" t="str">
        <f t="shared" ca="1" si="83"/>
        <v/>
      </c>
      <c r="C149" s="11" t="str">
        <f t="shared" ca="1" si="84"/>
        <v/>
      </c>
      <c r="D149" s="12" t="str">
        <f t="shared" ca="1" si="85"/>
        <v/>
      </c>
      <c r="E149" s="11" t="str">
        <f t="shared" ca="1" si="86"/>
        <v/>
      </c>
      <c r="F149" s="13" t="str">
        <f t="shared" ca="1" si="87"/>
        <v/>
      </c>
      <c r="G149" s="14" t="str">
        <f t="shared" ca="1" si="88"/>
        <v/>
      </c>
      <c r="H149" s="15" t="str">
        <f t="shared" ca="1" si="89"/>
        <v/>
      </c>
      <c r="I149" s="19" t="str">
        <f t="shared" ca="1" si="90"/>
        <v/>
      </c>
      <c r="J149" s="20" t="str">
        <f t="shared" ca="1" si="91"/>
        <v/>
      </c>
      <c r="K149" s="17" t="str">
        <f t="shared" ca="1" si="37"/>
        <v>包5</v>
      </c>
    </row>
    <row r="150" spans="1:11" ht="18" customHeight="1" x14ac:dyDescent="0.15">
      <c r="A150" s="10">
        <f ca="1">COUNTIF(K$8:K150,K150)-1</f>
        <v>29</v>
      </c>
      <c r="B150" s="11" t="str">
        <f t="shared" ca="1" si="83"/>
        <v/>
      </c>
      <c r="C150" s="11" t="str">
        <f t="shared" ca="1" si="84"/>
        <v/>
      </c>
      <c r="D150" s="12" t="str">
        <f t="shared" ca="1" si="85"/>
        <v/>
      </c>
      <c r="E150" s="11" t="str">
        <f t="shared" ca="1" si="86"/>
        <v/>
      </c>
      <c r="F150" s="13" t="str">
        <f t="shared" ca="1" si="87"/>
        <v/>
      </c>
      <c r="G150" s="14" t="str">
        <f t="shared" ca="1" si="88"/>
        <v/>
      </c>
      <c r="H150" s="15" t="str">
        <f t="shared" ca="1" si="89"/>
        <v/>
      </c>
      <c r="I150" s="19" t="str">
        <f t="shared" ca="1" si="90"/>
        <v/>
      </c>
      <c r="J150" s="20" t="str">
        <f t="shared" ca="1" si="91"/>
        <v/>
      </c>
      <c r="K150" s="17" t="str">
        <f t="shared" ca="1" si="37"/>
        <v>包5</v>
      </c>
    </row>
    <row r="151" spans="1:11" ht="18" customHeight="1" x14ac:dyDescent="0.15">
      <c r="A151" s="10">
        <f ca="1">COUNTIF(K$8:K151,K151)-1</f>
        <v>30</v>
      </c>
      <c r="B151" s="11" t="str">
        <f t="shared" ca="1" si="83"/>
        <v/>
      </c>
      <c r="C151" s="11" t="str">
        <f t="shared" ca="1" si="84"/>
        <v/>
      </c>
      <c r="D151" s="12" t="str">
        <f t="shared" ca="1" si="85"/>
        <v/>
      </c>
      <c r="E151" s="11" t="str">
        <f t="shared" ca="1" si="86"/>
        <v/>
      </c>
      <c r="F151" s="13" t="str">
        <f t="shared" ca="1" si="87"/>
        <v/>
      </c>
      <c r="G151" s="14" t="str">
        <f t="shared" ca="1" si="88"/>
        <v/>
      </c>
      <c r="H151" s="15" t="str">
        <f t="shared" ca="1" si="89"/>
        <v/>
      </c>
      <c r="I151" s="19" t="str">
        <f t="shared" ca="1" si="90"/>
        <v/>
      </c>
      <c r="J151" s="20" t="str">
        <f t="shared" ca="1" si="91"/>
        <v/>
      </c>
      <c r="K151" s="17" t="str">
        <f t="shared" ca="1" si="37"/>
        <v>包5</v>
      </c>
    </row>
    <row r="152" spans="1:11" ht="18" customHeight="1" x14ac:dyDescent="0.15">
      <c r="A152" s="10">
        <f ca="1">COUNTIF(K$8:K152,K152)-1</f>
        <v>31</v>
      </c>
      <c r="B152" s="11" t="str">
        <f t="shared" ca="1" si="83"/>
        <v/>
      </c>
      <c r="C152" s="11" t="str">
        <f t="shared" ca="1" si="84"/>
        <v/>
      </c>
      <c r="D152" s="12" t="str">
        <f t="shared" ca="1" si="85"/>
        <v/>
      </c>
      <c r="E152" s="11" t="str">
        <f t="shared" ca="1" si="86"/>
        <v/>
      </c>
      <c r="F152" s="13" t="str">
        <f t="shared" ca="1" si="87"/>
        <v/>
      </c>
      <c r="G152" s="14" t="str">
        <f t="shared" ca="1" si="88"/>
        <v/>
      </c>
      <c r="H152" s="15" t="str">
        <f t="shared" ca="1" si="89"/>
        <v/>
      </c>
      <c r="I152" s="19" t="str">
        <f t="shared" ca="1" si="90"/>
        <v/>
      </c>
      <c r="J152" s="20" t="str">
        <f t="shared" ca="1" si="91"/>
        <v/>
      </c>
      <c r="K152" s="17" t="str">
        <f t="shared" ca="1" si="37"/>
        <v>包5</v>
      </c>
    </row>
    <row r="153" spans="1:11" ht="18" customHeight="1" x14ac:dyDescent="0.15">
      <c r="A153" s="10">
        <f ca="1">COUNTIF(K$8:K153,K153)-1</f>
        <v>32</v>
      </c>
      <c r="B153" s="11" t="str">
        <f t="shared" ca="1" si="83"/>
        <v/>
      </c>
      <c r="C153" s="11" t="str">
        <f t="shared" ca="1" si="84"/>
        <v/>
      </c>
      <c r="D153" s="12" t="str">
        <f t="shared" ca="1" si="85"/>
        <v/>
      </c>
      <c r="E153" s="11" t="str">
        <f t="shared" ca="1" si="86"/>
        <v/>
      </c>
      <c r="F153" s="13" t="str">
        <f t="shared" ca="1" si="87"/>
        <v/>
      </c>
      <c r="G153" s="14" t="str">
        <f t="shared" ca="1" si="88"/>
        <v/>
      </c>
      <c r="H153" s="15" t="str">
        <f t="shared" ca="1" si="89"/>
        <v/>
      </c>
      <c r="I153" s="19" t="str">
        <f t="shared" ca="1" si="90"/>
        <v/>
      </c>
      <c r="J153" s="20" t="str">
        <f t="shared" ca="1" si="91"/>
        <v/>
      </c>
      <c r="K153" s="17" t="str">
        <f t="shared" ca="1" si="37"/>
        <v>包5</v>
      </c>
    </row>
    <row r="154" spans="1:11" ht="18" customHeight="1" x14ac:dyDescent="0.15">
      <c r="A154" s="10">
        <f ca="1">COUNTIF(K$8:K154,K154)-1</f>
        <v>33</v>
      </c>
      <c r="B154" s="11" t="str">
        <f t="shared" ca="1" si="83"/>
        <v/>
      </c>
      <c r="C154" s="11" t="str">
        <f t="shared" ca="1" si="84"/>
        <v/>
      </c>
      <c r="D154" s="12" t="str">
        <f t="shared" ca="1" si="85"/>
        <v/>
      </c>
      <c r="E154" s="11" t="str">
        <f t="shared" ca="1" si="86"/>
        <v/>
      </c>
      <c r="F154" s="13" t="str">
        <f t="shared" ca="1" si="87"/>
        <v/>
      </c>
      <c r="G154" s="14" t="str">
        <f t="shared" ca="1" si="88"/>
        <v/>
      </c>
      <c r="H154" s="15" t="str">
        <f t="shared" ca="1" si="89"/>
        <v/>
      </c>
      <c r="I154" s="19" t="str">
        <f t="shared" ca="1" si="90"/>
        <v/>
      </c>
      <c r="J154" s="20" t="str">
        <f t="shared" ca="1" si="91"/>
        <v/>
      </c>
      <c r="K154" s="17" t="str">
        <f t="shared" ca="1" si="37"/>
        <v>包5</v>
      </c>
    </row>
    <row r="155" spans="1:11" ht="18" customHeight="1" x14ac:dyDescent="0.15">
      <c r="A155" s="10">
        <f ca="1">COUNTIF(K$8:K155,K155)-1</f>
        <v>34</v>
      </c>
      <c r="B155" s="11" t="str">
        <f t="shared" ca="1" si="83"/>
        <v/>
      </c>
      <c r="C155" s="11" t="str">
        <f t="shared" ca="1" si="84"/>
        <v/>
      </c>
      <c r="D155" s="12" t="str">
        <f t="shared" ca="1" si="85"/>
        <v/>
      </c>
      <c r="E155" s="11" t="str">
        <f t="shared" ca="1" si="86"/>
        <v/>
      </c>
      <c r="F155" s="13" t="str">
        <f t="shared" ca="1" si="87"/>
        <v/>
      </c>
      <c r="G155" s="14" t="str">
        <f t="shared" ca="1" si="88"/>
        <v/>
      </c>
      <c r="H155" s="15" t="str">
        <f t="shared" ca="1" si="89"/>
        <v/>
      </c>
      <c r="I155" s="19" t="str">
        <f t="shared" ca="1" si="90"/>
        <v/>
      </c>
      <c r="J155" s="20" t="str">
        <f t="shared" ca="1" si="91"/>
        <v/>
      </c>
      <c r="K155" s="17" t="str">
        <f t="shared" ca="1" si="37"/>
        <v>包5</v>
      </c>
    </row>
    <row r="156" spans="1:11" ht="18" customHeight="1" x14ac:dyDescent="0.15">
      <c r="A156" s="10">
        <f ca="1">COUNTIF(K$8:K156,K156)-1</f>
        <v>35</v>
      </c>
      <c r="B156" s="11" t="str">
        <f t="shared" ca="1" si="83"/>
        <v/>
      </c>
      <c r="C156" s="11" t="str">
        <f t="shared" ca="1" si="84"/>
        <v/>
      </c>
      <c r="D156" s="12" t="str">
        <f t="shared" ca="1" si="85"/>
        <v/>
      </c>
      <c r="E156" s="11" t="str">
        <f t="shared" ca="1" si="86"/>
        <v/>
      </c>
      <c r="F156" s="13" t="str">
        <f t="shared" ca="1" si="87"/>
        <v/>
      </c>
      <c r="G156" s="14" t="str">
        <f t="shared" ca="1" si="88"/>
        <v/>
      </c>
      <c r="H156" s="15" t="str">
        <f t="shared" ca="1" si="89"/>
        <v/>
      </c>
      <c r="I156" s="19" t="str">
        <f t="shared" ca="1" si="90"/>
        <v/>
      </c>
      <c r="J156" s="20" t="str">
        <f t="shared" ca="1" si="91"/>
        <v/>
      </c>
      <c r="K156" s="17" t="str">
        <f t="shared" ca="1" si="37"/>
        <v>包5</v>
      </c>
    </row>
    <row r="157" spans="1:11" ht="18" customHeight="1" x14ac:dyDescent="0.15">
      <c r="A157" s="10">
        <f ca="1">COUNTIF(K$8:K157,K157)-1</f>
        <v>36</v>
      </c>
      <c r="B157" s="11" t="str">
        <f t="shared" ca="1" si="83"/>
        <v/>
      </c>
      <c r="C157" s="11" t="str">
        <f t="shared" ca="1" si="84"/>
        <v/>
      </c>
      <c r="D157" s="12" t="str">
        <f t="shared" ca="1" si="85"/>
        <v/>
      </c>
      <c r="E157" s="11" t="str">
        <f t="shared" ca="1" si="86"/>
        <v/>
      </c>
      <c r="F157" s="13" t="str">
        <f t="shared" ca="1" si="87"/>
        <v/>
      </c>
      <c r="G157" s="14" t="str">
        <f t="shared" ca="1" si="88"/>
        <v/>
      </c>
      <c r="H157" s="15" t="str">
        <f t="shared" ca="1" si="89"/>
        <v/>
      </c>
      <c r="I157" s="19" t="str">
        <f t="shared" ca="1" si="90"/>
        <v/>
      </c>
      <c r="J157" s="20" t="str">
        <f t="shared" ca="1" si="91"/>
        <v/>
      </c>
      <c r="K157" s="17" t="str">
        <f t="shared" ca="1" si="37"/>
        <v>包5</v>
      </c>
    </row>
    <row r="158" spans="1:11" ht="18" customHeight="1" x14ac:dyDescent="0.15">
      <c r="A158" s="10">
        <f ca="1">COUNTIF(K$8:K158,K158)-1</f>
        <v>37</v>
      </c>
      <c r="B158" s="11" t="str">
        <f t="shared" ca="1" si="83"/>
        <v/>
      </c>
      <c r="C158" s="11" t="str">
        <f t="shared" ca="1" si="84"/>
        <v/>
      </c>
      <c r="D158" s="12" t="str">
        <f t="shared" ca="1" si="85"/>
        <v/>
      </c>
      <c r="E158" s="11" t="str">
        <f t="shared" ca="1" si="86"/>
        <v/>
      </c>
      <c r="F158" s="13" t="str">
        <f t="shared" ca="1" si="87"/>
        <v/>
      </c>
      <c r="G158" s="14" t="str">
        <f t="shared" ca="1" si="88"/>
        <v/>
      </c>
      <c r="H158" s="15" t="str">
        <f t="shared" ca="1" si="89"/>
        <v/>
      </c>
      <c r="I158" s="19" t="str">
        <f t="shared" ca="1" si="90"/>
        <v/>
      </c>
      <c r="J158" s="20" t="str">
        <f t="shared" ca="1" si="91"/>
        <v/>
      </c>
      <c r="K158" s="17" t="str">
        <f t="shared" ca="1" si="37"/>
        <v>包5</v>
      </c>
    </row>
    <row r="159" spans="1:11" ht="18" customHeight="1" x14ac:dyDescent="0.15">
      <c r="A159" s="10">
        <f ca="1">COUNTIF(K$8:K159,K159)-1</f>
        <v>38</v>
      </c>
      <c r="B159" s="11" t="str">
        <f t="shared" ref="B159:B173" ca="1" si="101">IFERROR(VLOOKUP(A159,INDIRECT("'"&amp;K159&amp;"'!A:I"),3,FALSE),"")</f>
        <v/>
      </c>
      <c r="C159" s="11" t="str">
        <f t="shared" ref="C159:C173" ca="1" si="102">IFERROR(VLOOKUP(A159,INDIRECT("'"&amp;K159&amp;"'!A:I"),4,FALSE),"")</f>
        <v/>
      </c>
      <c r="D159" s="12" t="str">
        <f t="shared" ref="D159:D173" ca="1" si="103">IFERROR(VLOOKUP(A159,INDIRECT("'"&amp;K159&amp;"'!A:I"),5,FALSE),"")</f>
        <v/>
      </c>
      <c r="E159" s="11" t="str">
        <f t="shared" ref="E159:E173" ca="1" si="104">IF(B159="","",IF(VLOOKUP(A159,INDIRECT("'"&amp;K159&amp;"'!A:I"),6,FALSE)="","",IFERROR(VLOOKUP(A159,INDIRECT("'"&amp;K159&amp;"'!A:I"),6,FALSE),"")))</f>
        <v/>
      </c>
      <c r="F159" s="13" t="str">
        <f t="shared" ref="F159:F173" ca="1" si="105">IFERROR(VLOOKUP(A159,INDIRECT("'"&amp;K159&amp;"'!A:I"),7,FALSE),"")</f>
        <v/>
      </c>
      <c r="G159" s="14" t="str">
        <f t="shared" ref="G159:G173" ca="1" si="106">IFERROR(VLOOKUP(A159,INDIRECT("'"&amp;K159&amp;"'!A:I"),8,FALSE),"")</f>
        <v/>
      </c>
      <c r="H159" s="15" t="str">
        <f t="shared" ref="H159:H173" ca="1" si="107">IFERROR(VLOOKUP(A159,INDIRECT("'"&amp;K159&amp;"'!A:I"),9,FALSE),"")</f>
        <v/>
      </c>
      <c r="I159" s="19" t="str">
        <f t="shared" ref="I159:I173" ca="1" si="108">IFERROR(G159*H159,"")</f>
        <v/>
      </c>
      <c r="J159" s="20" t="str">
        <f t="shared" ref="J159:J173" ca="1" si="109">IF(B159="","",IF(VLOOKUP(A159,INDIRECT("'"&amp;K159&amp;"'!A:L"),11,FALSE)="","",IFERROR(VLOOKUP(A159,INDIRECT("'"&amp;K159&amp;"'!A:L"),11,FALSE),"")))</f>
        <v/>
      </c>
      <c r="K159" s="17" t="str">
        <f t="shared" ca="1" si="37"/>
        <v>包5</v>
      </c>
    </row>
    <row r="160" spans="1:11" ht="18" customHeight="1" x14ac:dyDescent="0.15">
      <c r="A160" s="10">
        <f ca="1">COUNTIF(K$8:K160,K160)-1</f>
        <v>39</v>
      </c>
      <c r="B160" s="11" t="str">
        <f t="shared" ca="1" si="101"/>
        <v/>
      </c>
      <c r="C160" s="11" t="str">
        <f t="shared" ca="1" si="102"/>
        <v/>
      </c>
      <c r="D160" s="12" t="str">
        <f t="shared" ca="1" si="103"/>
        <v/>
      </c>
      <c r="E160" s="11" t="str">
        <f t="shared" ca="1" si="104"/>
        <v/>
      </c>
      <c r="F160" s="13" t="str">
        <f t="shared" ca="1" si="105"/>
        <v/>
      </c>
      <c r="G160" s="14" t="str">
        <f t="shared" ca="1" si="106"/>
        <v/>
      </c>
      <c r="H160" s="15" t="str">
        <f t="shared" ca="1" si="107"/>
        <v/>
      </c>
      <c r="I160" s="19" t="str">
        <f t="shared" ca="1" si="108"/>
        <v/>
      </c>
      <c r="J160" s="20" t="str">
        <f t="shared" ca="1" si="109"/>
        <v/>
      </c>
      <c r="K160" s="17" t="str">
        <f t="shared" ca="1" si="37"/>
        <v>包5</v>
      </c>
    </row>
    <row r="161" spans="1:11" ht="18" customHeight="1" x14ac:dyDescent="0.15">
      <c r="A161" s="10">
        <f ca="1">COUNTIF(K$8:K161,K161)-1</f>
        <v>40</v>
      </c>
      <c r="B161" s="11" t="str">
        <f t="shared" ca="1" si="101"/>
        <v/>
      </c>
      <c r="C161" s="11" t="str">
        <f t="shared" ca="1" si="102"/>
        <v/>
      </c>
      <c r="D161" s="12" t="str">
        <f t="shared" ca="1" si="103"/>
        <v/>
      </c>
      <c r="E161" s="11" t="str">
        <f t="shared" ca="1" si="104"/>
        <v/>
      </c>
      <c r="F161" s="13" t="str">
        <f t="shared" ca="1" si="105"/>
        <v/>
      </c>
      <c r="G161" s="14" t="str">
        <f t="shared" ca="1" si="106"/>
        <v/>
      </c>
      <c r="H161" s="15" t="str">
        <f t="shared" ca="1" si="107"/>
        <v/>
      </c>
      <c r="I161" s="19" t="str">
        <f t="shared" ca="1" si="108"/>
        <v/>
      </c>
      <c r="J161" s="20" t="str">
        <f t="shared" ca="1" si="109"/>
        <v/>
      </c>
      <c r="K161" s="17" t="str">
        <f t="shared" ca="1" si="37"/>
        <v>包5</v>
      </c>
    </row>
    <row r="162" spans="1:11" ht="18" customHeight="1" x14ac:dyDescent="0.15">
      <c r="A162" s="10">
        <f ca="1">COUNTIF(K$8:K162,K162)-1</f>
        <v>41</v>
      </c>
      <c r="B162" s="11" t="str">
        <f t="shared" ca="1" si="101"/>
        <v/>
      </c>
      <c r="C162" s="11" t="str">
        <f t="shared" ca="1" si="102"/>
        <v/>
      </c>
      <c r="D162" s="12" t="str">
        <f t="shared" ca="1" si="103"/>
        <v/>
      </c>
      <c r="E162" s="11" t="str">
        <f t="shared" ca="1" si="104"/>
        <v/>
      </c>
      <c r="F162" s="13" t="str">
        <f t="shared" ca="1" si="105"/>
        <v/>
      </c>
      <c r="G162" s="14" t="str">
        <f t="shared" ca="1" si="106"/>
        <v/>
      </c>
      <c r="H162" s="15" t="str">
        <f t="shared" ca="1" si="107"/>
        <v/>
      </c>
      <c r="I162" s="19" t="str">
        <f t="shared" ca="1" si="108"/>
        <v/>
      </c>
      <c r="J162" s="20" t="str">
        <f t="shared" ca="1" si="109"/>
        <v/>
      </c>
      <c r="K162" s="17" t="str">
        <f t="shared" ca="1" si="37"/>
        <v>包5</v>
      </c>
    </row>
    <row r="163" spans="1:11" ht="18" customHeight="1" x14ac:dyDescent="0.15">
      <c r="A163" s="10">
        <f ca="1">COUNTIF(K$8:K163,K163)-1</f>
        <v>42</v>
      </c>
      <c r="B163" s="11" t="str">
        <f t="shared" ca="1" si="101"/>
        <v/>
      </c>
      <c r="C163" s="11" t="str">
        <f t="shared" ca="1" si="102"/>
        <v/>
      </c>
      <c r="D163" s="12" t="str">
        <f t="shared" ca="1" si="103"/>
        <v/>
      </c>
      <c r="E163" s="11" t="str">
        <f t="shared" ca="1" si="104"/>
        <v/>
      </c>
      <c r="F163" s="13" t="str">
        <f t="shared" ca="1" si="105"/>
        <v/>
      </c>
      <c r="G163" s="14" t="str">
        <f t="shared" ca="1" si="106"/>
        <v/>
      </c>
      <c r="H163" s="15" t="str">
        <f t="shared" ca="1" si="107"/>
        <v/>
      </c>
      <c r="I163" s="19" t="str">
        <f t="shared" ca="1" si="108"/>
        <v/>
      </c>
      <c r="J163" s="20" t="str">
        <f t="shared" ca="1" si="109"/>
        <v/>
      </c>
      <c r="K163" s="17" t="str">
        <f t="shared" ca="1" si="37"/>
        <v>包5</v>
      </c>
    </row>
    <row r="164" spans="1:11" ht="18" customHeight="1" x14ac:dyDescent="0.15">
      <c r="A164" s="10">
        <f ca="1">COUNTIF(K$8:K164,K164)-1</f>
        <v>43</v>
      </c>
      <c r="B164" s="11" t="str">
        <f t="shared" ca="1" si="101"/>
        <v/>
      </c>
      <c r="C164" s="11" t="str">
        <f t="shared" ca="1" si="102"/>
        <v/>
      </c>
      <c r="D164" s="12" t="str">
        <f t="shared" ca="1" si="103"/>
        <v/>
      </c>
      <c r="E164" s="11" t="str">
        <f t="shared" ca="1" si="104"/>
        <v/>
      </c>
      <c r="F164" s="13" t="str">
        <f t="shared" ca="1" si="105"/>
        <v/>
      </c>
      <c r="G164" s="14" t="str">
        <f t="shared" ca="1" si="106"/>
        <v/>
      </c>
      <c r="H164" s="15" t="str">
        <f t="shared" ca="1" si="107"/>
        <v/>
      </c>
      <c r="I164" s="19" t="str">
        <f t="shared" ca="1" si="108"/>
        <v/>
      </c>
      <c r="J164" s="20" t="str">
        <f t="shared" ca="1" si="109"/>
        <v/>
      </c>
      <c r="K164" s="17" t="str">
        <f t="shared" ca="1" si="37"/>
        <v>包5</v>
      </c>
    </row>
    <row r="165" spans="1:11" ht="18" customHeight="1" x14ac:dyDescent="0.15">
      <c r="A165" s="10">
        <f ca="1">COUNTIF(K$8:K165,K165)-1</f>
        <v>44</v>
      </c>
      <c r="B165" s="11" t="str">
        <f t="shared" ca="1" si="101"/>
        <v/>
      </c>
      <c r="C165" s="11" t="str">
        <f t="shared" ca="1" si="102"/>
        <v/>
      </c>
      <c r="D165" s="12" t="str">
        <f t="shared" ca="1" si="103"/>
        <v/>
      </c>
      <c r="E165" s="11" t="str">
        <f t="shared" ca="1" si="104"/>
        <v/>
      </c>
      <c r="F165" s="13" t="str">
        <f t="shared" ca="1" si="105"/>
        <v/>
      </c>
      <c r="G165" s="14" t="str">
        <f t="shared" ca="1" si="106"/>
        <v/>
      </c>
      <c r="H165" s="15" t="str">
        <f t="shared" ca="1" si="107"/>
        <v/>
      </c>
      <c r="I165" s="19" t="str">
        <f t="shared" ca="1" si="108"/>
        <v/>
      </c>
      <c r="J165" s="20" t="str">
        <f t="shared" ca="1" si="109"/>
        <v/>
      </c>
      <c r="K165" s="17" t="str">
        <f t="shared" ca="1" si="37"/>
        <v>包5</v>
      </c>
    </row>
    <row r="166" spans="1:11" ht="18" customHeight="1" x14ac:dyDescent="0.15">
      <c r="A166" s="10">
        <f ca="1">COUNTIF(K$8:K166,K166)-1</f>
        <v>45</v>
      </c>
      <c r="B166" s="11" t="str">
        <f t="shared" ca="1" si="101"/>
        <v/>
      </c>
      <c r="C166" s="11" t="str">
        <f t="shared" ca="1" si="102"/>
        <v/>
      </c>
      <c r="D166" s="12" t="str">
        <f t="shared" ca="1" si="103"/>
        <v/>
      </c>
      <c r="E166" s="11" t="str">
        <f t="shared" ca="1" si="104"/>
        <v/>
      </c>
      <c r="F166" s="13" t="str">
        <f t="shared" ca="1" si="105"/>
        <v/>
      </c>
      <c r="G166" s="14" t="str">
        <f t="shared" ca="1" si="106"/>
        <v/>
      </c>
      <c r="H166" s="15" t="str">
        <f t="shared" ca="1" si="107"/>
        <v/>
      </c>
      <c r="I166" s="19" t="str">
        <f t="shared" ca="1" si="108"/>
        <v/>
      </c>
      <c r="J166" s="20" t="str">
        <f t="shared" ca="1" si="109"/>
        <v/>
      </c>
      <c r="K166" s="17" t="str">
        <f t="shared" ca="1" si="37"/>
        <v>包5</v>
      </c>
    </row>
    <row r="167" spans="1:11" ht="18" customHeight="1" x14ac:dyDescent="0.15">
      <c r="A167" s="10">
        <f ca="1">COUNTIF(K$8:K167,K167)-1</f>
        <v>46</v>
      </c>
      <c r="B167" s="11" t="str">
        <f t="shared" ca="1" si="101"/>
        <v/>
      </c>
      <c r="C167" s="11" t="str">
        <f t="shared" ca="1" si="102"/>
        <v/>
      </c>
      <c r="D167" s="12" t="str">
        <f t="shared" ca="1" si="103"/>
        <v/>
      </c>
      <c r="E167" s="11" t="str">
        <f t="shared" ca="1" si="104"/>
        <v/>
      </c>
      <c r="F167" s="13" t="str">
        <f t="shared" ca="1" si="105"/>
        <v/>
      </c>
      <c r="G167" s="14" t="str">
        <f t="shared" ca="1" si="106"/>
        <v/>
      </c>
      <c r="H167" s="15" t="str">
        <f t="shared" ca="1" si="107"/>
        <v/>
      </c>
      <c r="I167" s="19" t="str">
        <f t="shared" ca="1" si="108"/>
        <v/>
      </c>
      <c r="J167" s="20" t="str">
        <f t="shared" ca="1" si="109"/>
        <v/>
      </c>
      <c r="K167" s="17" t="str">
        <f t="shared" ca="1" si="37"/>
        <v>包5</v>
      </c>
    </row>
    <row r="168" spans="1:11" ht="18" customHeight="1" x14ac:dyDescent="0.15">
      <c r="A168" s="10">
        <f ca="1">COUNTIF(K$8:K168,K168)-1</f>
        <v>47</v>
      </c>
      <c r="B168" s="11" t="str">
        <f t="shared" ca="1" si="101"/>
        <v/>
      </c>
      <c r="C168" s="11" t="str">
        <f t="shared" ca="1" si="102"/>
        <v/>
      </c>
      <c r="D168" s="12" t="str">
        <f t="shared" ca="1" si="103"/>
        <v/>
      </c>
      <c r="E168" s="11" t="str">
        <f t="shared" ca="1" si="104"/>
        <v/>
      </c>
      <c r="F168" s="13" t="str">
        <f t="shared" ca="1" si="105"/>
        <v/>
      </c>
      <c r="G168" s="14" t="str">
        <f t="shared" ca="1" si="106"/>
        <v/>
      </c>
      <c r="H168" s="15" t="str">
        <f t="shared" ca="1" si="107"/>
        <v/>
      </c>
      <c r="I168" s="19" t="str">
        <f t="shared" ca="1" si="108"/>
        <v/>
      </c>
      <c r="J168" s="20" t="str">
        <f t="shared" ca="1" si="109"/>
        <v/>
      </c>
      <c r="K168" s="17" t="str">
        <f t="shared" ca="1" si="37"/>
        <v>包5</v>
      </c>
    </row>
    <row r="169" spans="1:11" ht="18" customHeight="1" x14ac:dyDescent="0.15">
      <c r="A169" s="10">
        <f ca="1">COUNTIF(K$8:K169,K169)-1</f>
        <v>48</v>
      </c>
      <c r="B169" s="11" t="str">
        <f t="shared" ca="1" si="101"/>
        <v/>
      </c>
      <c r="C169" s="11" t="str">
        <f t="shared" ca="1" si="102"/>
        <v/>
      </c>
      <c r="D169" s="12" t="str">
        <f t="shared" ca="1" si="103"/>
        <v/>
      </c>
      <c r="E169" s="11" t="str">
        <f t="shared" ca="1" si="104"/>
        <v/>
      </c>
      <c r="F169" s="13" t="str">
        <f t="shared" ca="1" si="105"/>
        <v/>
      </c>
      <c r="G169" s="14" t="str">
        <f t="shared" ca="1" si="106"/>
        <v/>
      </c>
      <c r="H169" s="15" t="str">
        <f t="shared" ca="1" si="107"/>
        <v/>
      </c>
      <c r="I169" s="19" t="str">
        <f t="shared" ca="1" si="108"/>
        <v/>
      </c>
      <c r="J169" s="20" t="str">
        <f t="shared" ca="1" si="109"/>
        <v/>
      </c>
      <c r="K169" s="17" t="str">
        <f t="shared" ca="1" si="37"/>
        <v>包5</v>
      </c>
    </row>
    <row r="170" spans="1:11" ht="18" customHeight="1" x14ac:dyDescent="0.15">
      <c r="A170" s="10">
        <f ca="1">COUNTIF(K$8:K170,K170)-1</f>
        <v>49</v>
      </c>
      <c r="B170" s="11" t="str">
        <f t="shared" ca="1" si="101"/>
        <v/>
      </c>
      <c r="C170" s="11" t="str">
        <f t="shared" ca="1" si="102"/>
        <v/>
      </c>
      <c r="D170" s="12" t="str">
        <f t="shared" ca="1" si="103"/>
        <v/>
      </c>
      <c r="E170" s="11" t="str">
        <f t="shared" ca="1" si="104"/>
        <v/>
      </c>
      <c r="F170" s="13" t="str">
        <f t="shared" ca="1" si="105"/>
        <v/>
      </c>
      <c r="G170" s="14" t="str">
        <f t="shared" ca="1" si="106"/>
        <v/>
      </c>
      <c r="H170" s="15" t="str">
        <f t="shared" ca="1" si="107"/>
        <v/>
      </c>
      <c r="I170" s="19" t="str">
        <f t="shared" ca="1" si="108"/>
        <v/>
      </c>
      <c r="J170" s="20" t="str">
        <f t="shared" ca="1" si="109"/>
        <v/>
      </c>
      <c r="K170" s="17" t="str">
        <f t="shared" ca="1" si="37"/>
        <v>包5</v>
      </c>
    </row>
    <row r="171" spans="1:11" ht="18" customHeight="1" x14ac:dyDescent="0.15">
      <c r="A171" s="10">
        <f ca="1">COUNTIF(K$8:K171,K171)-1</f>
        <v>50</v>
      </c>
      <c r="B171" s="11" t="str">
        <f t="shared" ca="1" si="101"/>
        <v/>
      </c>
      <c r="C171" s="11" t="str">
        <f t="shared" ca="1" si="102"/>
        <v/>
      </c>
      <c r="D171" s="12" t="str">
        <f t="shared" ca="1" si="103"/>
        <v/>
      </c>
      <c r="E171" s="11" t="str">
        <f t="shared" ca="1" si="104"/>
        <v/>
      </c>
      <c r="F171" s="13" t="str">
        <f t="shared" ca="1" si="105"/>
        <v/>
      </c>
      <c r="G171" s="14" t="str">
        <f t="shared" ca="1" si="106"/>
        <v/>
      </c>
      <c r="H171" s="15" t="str">
        <f t="shared" ca="1" si="107"/>
        <v/>
      </c>
      <c r="I171" s="19" t="str">
        <f t="shared" ca="1" si="108"/>
        <v/>
      </c>
      <c r="J171" s="20" t="str">
        <f t="shared" ca="1" si="109"/>
        <v/>
      </c>
      <c r="K171" s="17" t="str">
        <f t="shared" ca="1" si="37"/>
        <v>包5</v>
      </c>
    </row>
    <row r="172" spans="1:11" ht="18" customHeight="1" x14ac:dyDescent="0.15">
      <c r="A172" s="10">
        <f ca="1">COUNTIF(K$8:K172,K172)-1</f>
        <v>51</v>
      </c>
      <c r="B172" s="11" t="str">
        <f t="shared" ca="1" si="101"/>
        <v/>
      </c>
      <c r="C172" s="11" t="str">
        <f t="shared" ca="1" si="102"/>
        <v/>
      </c>
      <c r="D172" s="12" t="str">
        <f t="shared" ca="1" si="103"/>
        <v/>
      </c>
      <c r="E172" s="11" t="str">
        <f t="shared" ca="1" si="104"/>
        <v/>
      </c>
      <c r="F172" s="13" t="str">
        <f t="shared" ca="1" si="105"/>
        <v/>
      </c>
      <c r="G172" s="14" t="str">
        <f t="shared" ca="1" si="106"/>
        <v/>
      </c>
      <c r="H172" s="15" t="str">
        <f t="shared" ca="1" si="107"/>
        <v/>
      </c>
      <c r="I172" s="19" t="str">
        <f t="shared" ca="1" si="108"/>
        <v/>
      </c>
      <c r="J172" s="20" t="str">
        <f t="shared" ca="1" si="109"/>
        <v/>
      </c>
      <c r="K172" s="17" t="str">
        <f t="shared" ca="1" si="37"/>
        <v>包5</v>
      </c>
    </row>
    <row r="173" spans="1:11" ht="18" customHeight="1" x14ac:dyDescent="0.15">
      <c r="A173" s="10">
        <f ca="1">COUNTIF(K$8:K173,K173)-1</f>
        <v>52</v>
      </c>
      <c r="B173" s="11" t="str">
        <f t="shared" ca="1" si="101"/>
        <v/>
      </c>
      <c r="C173" s="11" t="str">
        <f t="shared" ca="1" si="102"/>
        <v/>
      </c>
      <c r="D173" s="12" t="str">
        <f t="shared" ca="1" si="103"/>
        <v/>
      </c>
      <c r="E173" s="11" t="str">
        <f t="shared" ca="1" si="104"/>
        <v/>
      </c>
      <c r="F173" s="13" t="str">
        <f t="shared" ca="1" si="105"/>
        <v/>
      </c>
      <c r="G173" s="14" t="str">
        <f t="shared" ca="1" si="106"/>
        <v/>
      </c>
      <c r="H173" s="15" t="str">
        <f t="shared" ca="1" si="107"/>
        <v/>
      </c>
      <c r="I173" s="19" t="str">
        <f t="shared" ca="1" si="108"/>
        <v/>
      </c>
      <c r="J173" s="20" t="str">
        <f t="shared" ca="1" si="109"/>
        <v/>
      </c>
      <c r="K173" s="17" t="str">
        <f t="shared" ca="1" si="37"/>
        <v>包5</v>
      </c>
    </row>
    <row r="174" spans="1:11" ht="11.1" customHeight="1" x14ac:dyDescent="0.15">
      <c r="A174" s="472"/>
      <c r="B174" s="473"/>
      <c r="C174" s="473"/>
      <c r="D174" s="473"/>
      <c r="E174" s="473"/>
      <c r="F174" s="473"/>
      <c r="G174" s="473"/>
      <c r="H174" s="473"/>
      <c r="I174" s="473"/>
      <c r="J174" s="474"/>
      <c r="K174" s="17" t="str">
        <f t="shared" ca="1" si="37"/>
        <v>包5</v>
      </c>
    </row>
    <row r="175" spans="1:11" ht="21" customHeight="1" x14ac:dyDescent="0.15">
      <c r="A175" s="475" t="str">
        <f ca="1">K175&amp;"合计："</f>
        <v>包5合计：</v>
      </c>
      <c r="B175" s="476"/>
      <c r="C175" s="476"/>
      <c r="D175" s="476"/>
      <c r="E175" s="477"/>
      <c r="F175" s="478" t="str">
        <f ca="1">SUM(G121:G174)&amp;"台"</f>
        <v>0台</v>
      </c>
      <c r="G175" s="479"/>
      <c r="H175" s="465">
        <f ca="1">SUM(I121:I174)</f>
        <v>0</v>
      </c>
      <c r="I175" s="465"/>
      <c r="J175" s="465"/>
      <c r="K175" s="17" t="str">
        <f t="shared" ca="1" si="37"/>
        <v>包5</v>
      </c>
    </row>
    <row r="176" spans="1:11" s="1" customFormat="1" ht="24" customHeight="1" x14ac:dyDescent="0.2">
      <c r="A176" s="471" t="s">
        <v>255</v>
      </c>
      <c r="B176" s="471"/>
      <c r="C176" s="8"/>
      <c r="D176" s="9"/>
      <c r="E176" s="8"/>
      <c r="F176" s="9"/>
      <c r="G176" s="9"/>
      <c r="K176" s="17" t="str">
        <f>IF(ISNUMBER(FIND("配电柜",A176)),LEFT(A176,LEN(A176)-3),A176)</f>
        <v>包6</v>
      </c>
    </row>
    <row r="177" spans="1:11" ht="18" customHeight="1" x14ac:dyDescent="0.15">
      <c r="A177" s="10">
        <f ca="1">COUNTIF(K$8:K177,K177)-1</f>
        <v>1</v>
      </c>
      <c r="B177" s="11" t="str">
        <f ca="1">IFERROR(VLOOKUP(A177,INDIRECT("'"&amp;K177&amp;"'!A:I"),3,FALSE),"")</f>
        <v/>
      </c>
      <c r="C177" s="11" t="str">
        <f ca="1">IFERROR(VLOOKUP(A177,INDIRECT("'"&amp;K177&amp;"'!A:I"),4,FALSE),"")</f>
        <v/>
      </c>
      <c r="D177" s="12" t="str">
        <f ca="1">IFERROR(VLOOKUP(A177,INDIRECT("'"&amp;K177&amp;"'!A:I"),5,FALSE),"")</f>
        <v/>
      </c>
      <c r="E177" s="11" t="str">
        <f ca="1">IF(B177="","",IF(VLOOKUP(A177,INDIRECT("'"&amp;K177&amp;"'!A:I"),6,FALSE)="","",IFERROR(VLOOKUP(A177,INDIRECT("'"&amp;K177&amp;"'!A:I"),6,FALSE),"")))</f>
        <v/>
      </c>
      <c r="F177" s="13" t="str">
        <f ca="1">IFERROR(VLOOKUP(A177,INDIRECT("'"&amp;K177&amp;"'!A:I"),7,FALSE),"")</f>
        <v/>
      </c>
      <c r="G177" s="14" t="str">
        <f ca="1">IFERROR(VLOOKUP(A177,INDIRECT("'"&amp;K177&amp;"'!A:I"),8,FALSE),"")</f>
        <v/>
      </c>
      <c r="H177" s="15" t="str">
        <f ca="1">IFERROR(VLOOKUP(A177,INDIRECT("'"&amp;K177&amp;"'!A:I"),9,FALSE),"")</f>
        <v/>
      </c>
      <c r="I177" s="19" t="str">
        <f ca="1">IFERROR(G177*H177,"")</f>
        <v/>
      </c>
      <c r="J177" s="20" t="str">
        <f ca="1">IF(B177="","",IF(VLOOKUP(A177,INDIRECT("'"&amp;K177&amp;"'!A:L"),11,FALSE)="","",IFERROR(VLOOKUP(A177,INDIRECT("'"&amp;K177&amp;"'!A:L"),11,FALSE),"")))</f>
        <v/>
      </c>
      <c r="K177" s="17" t="str">
        <f t="shared" ca="1" si="37"/>
        <v>包6</v>
      </c>
    </row>
    <row r="178" spans="1:11" ht="18" customHeight="1" x14ac:dyDescent="0.15">
      <c r="A178" s="10">
        <f ca="1">COUNTIF(K$8:K178,K178)-1</f>
        <v>2</v>
      </c>
      <c r="B178" s="11" t="str">
        <f ca="1">IFERROR(VLOOKUP(A178,INDIRECT("'"&amp;K178&amp;"'!A:I"),3,FALSE),"")</f>
        <v/>
      </c>
      <c r="C178" s="11" t="str">
        <f ca="1">IFERROR(VLOOKUP(A178,INDIRECT("'"&amp;K178&amp;"'!A:I"),4,FALSE),"")</f>
        <v/>
      </c>
      <c r="D178" s="12" t="str">
        <f ca="1">IFERROR(VLOOKUP(A178,INDIRECT("'"&amp;K178&amp;"'!A:I"),5,FALSE),"")</f>
        <v/>
      </c>
      <c r="E178" s="11" t="str">
        <f ca="1">IF(B178="","",IF(VLOOKUP(A178,INDIRECT("'"&amp;K178&amp;"'!A:I"),6,FALSE)="","",IFERROR(VLOOKUP(A178,INDIRECT("'"&amp;K178&amp;"'!A:I"),6,FALSE),"")))</f>
        <v/>
      </c>
      <c r="F178" s="13" t="str">
        <f ca="1">IFERROR(VLOOKUP(A178,INDIRECT("'"&amp;K178&amp;"'!A:I"),7,FALSE),"")</f>
        <v/>
      </c>
      <c r="G178" s="14" t="str">
        <f ca="1">IFERROR(VLOOKUP(A178,INDIRECT("'"&amp;K178&amp;"'!A:I"),8,FALSE),"")</f>
        <v/>
      </c>
      <c r="H178" s="15" t="str">
        <f ca="1">IFERROR(VLOOKUP(A178,INDIRECT("'"&amp;K178&amp;"'!A:I"),9,FALSE),"")</f>
        <v/>
      </c>
      <c r="I178" s="19" t="str">
        <f ca="1">IFERROR(G178*H178,"")</f>
        <v/>
      </c>
      <c r="J178" s="20" t="str">
        <f ca="1">IF(B178="","",IF(VLOOKUP(A178,INDIRECT("'"&amp;K178&amp;"'!A:L"),11,FALSE)="","",IFERROR(VLOOKUP(A178,INDIRECT("'"&amp;K178&amp;"'!A:L"),11,FALSE),"")))</f>
        <v/>
      </c>
      <c r="K178" s="17" t="str">
        <f t="shared" ca="1" si="37"/>
        <v>包6</v>
      </c>
    </row>
    <row r="179" spans="1:11" ht="18" customHeight="1" x14ac:dyDescent="0.15">
      <c r="A179" s="10">
        <f ca="1">COUNTIF(K$8:K179,K179)-1</f>
        <v>3</v>
      </c>
      <c r="B179" s="11" t="str">
        <f ca="1">IFERROR(VLOOKUP(A179,INDIRECT("'"&amp;K179&amp;"'!A:I"),3,FALSE),"")</f>
        <v/>
      </c>
      <c r="C179" s="11" t="str">
        <f ca="1">IFERROR(VLOOKUP(A179,INDIRECT("'"&amp;K179&amp;"'!A:I"),4,FALSE),"")</f>
        <v/>
      </c>
      <c r="D179" s="12" t="str">
        <f ca="1">IFERROR(VLOOKUP(A179,INDIRECT("'"&amp;K179&amp;"'!A:I"),5,FALSE),"")</f>
        <v/>
      </c>
      <c r="E179" s="11" t="str">
        <f ca="1">IF(B179="","",IF(VLOOKUP(A179,INDIRECT("'"&amp;K179&amp;"'!A:I"),6,FALSE)="","",IFERROR(VLOOKUP(A179,INDIRECT("'"&amp;K179&amp;"'!A:I"),6,FALSE),"")))</f>
        <v/>
      </c>
      <c r="F179" s="13" t="str">
        <f ca="1">IFERROR(VLOOKUP(A179,INDIRECT("'"&amp;K179&amp;"'!A:I"),7,FALSE),"")</f>
        <v/>
      </c>
      <c r="G179" s="14" t="str">
        <f ca="1">IFERROR(VLOOKUP(A179,INDIRECT("'"&amp;K179&amp;"'!A:I"),8,FALSE),"")</f>
        <v/>
      </c>
      <c r="H179" s="15" t="str">
        <f ca="1">IFERROR(VLOOKUP(A179,INDIRECT("'"&amp;K179&amp;"'!A:I"),9,FALSE),"")</f>
        <v/>
      </c>
      <c r="I179" s="19" t="str">
        <f ca="1">IFERROR(G179*H179,"")</f>
        <v/>
      </c>
      <c r="J179" s="20" t="str">
        <f ca="1">IF(B179="","",IF(VLOOKUP(A179,INDIRECT("'"&amp;K179&amp;"'!A:L"),11,FALSE)="","",IFERROR(VLOOKUP(A179,INDIRECT("'"&amp;K179&amp;"'!A:L"),11,FALSE),"")))</f>
        <v/>
      </c>
      <c r="K179" s="17" t="str">
        <f t="shared" ca="1" si="37"/>
        <v>包6</v>
      </c>
    </row>
    <row r="180" spans="1:11" ht="18" customHeight="1" x14ac:dyDescent="0.15">
      <c r="A180" s="10">
        <f ca="1">COUNTIF(K$8:K180,K180)-1</f>
        <v>4</v>
      </c>
      <c r="B180" s="11" t="str">
        <f ca="1">IFERROR(VLOOKUP(A180,INDIRECT("'"&amp;K180&amp;"'!A:I"),3,FALSE),"")</f>
        <v/>
      </c>
      <c r="C180" s="11" t="str">
        <f ca="1">IFERROR(VLOOKUP(A180,INDIRECT("'"&amp;K180&amp;"'!A:I"),4,FALSE),"")</f>
        <v/>
      </c>
      <c r="D180" s="12" t="str">
        <f ca="1">IFERROR(VLOOKUP(A180,INDIRECT("'"&amp;K180&amp;"'!A:I"),5,FALSE),"")</f>
        <v/>
      </c>
      <c r="E180" s="11" t="str">
        <f ca="1">IF(B180="","",IF(VLOOKUP(A180,INDIRECT("'"&amp;K180&amp;"'!A:I"),6,FALSE)="","",IFERROR(VLOOKUP(A180,INDIRECT("'"&amp;K180&amp;"'!A:I"),6,FALSE),"")))</f>
        <v/>
      </c>
      <c r="F180" s="13" t="str">
        <f ca="1">IFERROR(VLOOKUP(A180,INDIRECT("'"&amp;K180&amp;"'!A:I"),7,FALSE),"")</f>
        <v/>
      </c>
      <c r="G180" s="14" t="str">
        <f ca="1">IFERROR(VLOOKUP(A180,INDIRECT("'"&amp;K180&amp;"'!A:I"),8,FALSE),"")</f>
        <v/>
      </c>
      <c r="H180" s="15" t="str">
        <f ca="1">IFERROR(VLOOKUP(A180,INDIRECT("'"&amp;K180&amp;"'!A:I"),9,FALSE),"")</f>
        <v/>
      </c>
      <c r="I180" s="19" t="str">
        <f ca="1">IFERROR(G180*H180,"")</f>
        <v/>
      </c>
      <c r="J180" s="20" t="str">
        <f ca="1">IF(B180="","",IF(VLOOKUP(A180,INDIRECT("'"&amp;K180&amp;"'!A:L"),11,FALSE)="","",IFERROR(VLOOKUP(A180,INDIRECT("'"&amp;K180&amp;"'!A:L"),11,FALSE),"")))</f>
        <v/>
      </c>
      <c r="K180" s="17" t="str">
        <f t="shared" ca="1" si="37"/>
        <v>包6</v>
      </c>
    </row>
    <row r="181" spans="1:11" ht="18" customHeight="1" x14ac:dyDescent="0.15">
      <c r="A181" s="10">
        <f ca="1">COUNTIF(K$8:K181,K181)-1</f>
        <v>5</v>
      </c>
      <c r="B181" s="11" t="str">
        <f ca="1">IFERROR(VLOOKUP(A181,INDIRECT("'"&amp;K181&amp;"'!A:I"),3,FALSE),"")</f>
        <v/>
      </c>
      <c r="C181" s="11" t="str">
        <f ca="1">IFERROR(VLOOKUP(A181,INDIRECT("'"&amp;K181&amp;"'!A:I"),4,FALSE),"")</f>
        <v/>
      </c>
      <c r="D181" s="12" t="str">
        <f ca="1">IFERROR(VLOOKUP(A181,INDIRECT("'"&amp;K181&amp;"'!A:I"),5,FALSE),"")</f>
        <v/>
      </c>
      <c r="E181" s="11" t="str">
        <f ca="1">IF(B181="","",IF(VLOOKUP(A181,INDIRECT("'"&amp;K181&amp;"'!A:I"),6,FALSE)="","",IFERROR(VLOOKUP(A181,INDIRECT("'"&amp;K181&amp;"'!A:I"),6,FALSE),"")))</f>
        <v/>
      </c>
      <c r="F181" s="13" t="str">
        <f ca="1">IFERROR(VLOOKUP(A181,INDIRECT("'"&amp;K181&amp;"'!A:I"),7,FALSE),"")</f>
        <v/>
      </c>
      <c r="G181" s="14" t="str">
        <f ca="1">IFERROR(VLOOKUP(A181,INDIRECT("'"&amp;K181&amp;"'!A:I"),8,FALSE),"")</f>
        <v/>
      </c>
      <c r="H181" s="15" t="str">
        <f ca="1">IFERROR(VLOOKUP(A181,INDIRECT("'"&amp;K181&amp;"'!A:I"),9,FALSE),"")</f>
        <v/>
      </c>
      <c r="I181" s="19" t="str">
        <f ca="1">IFERROR(G181*H181,"")</f>
        <v/>
      </c>
      <c r="J181" s="20" t="str">
        <f ca="1">IF(B181="","",IF(VLOOKUP(A181,INDIRECT("'"&amp;K181&amp;"'!A:L"),11,FALSE)="","",IFERROR(VLOOKUP(A181,INDIRECT("'"&amp;K181&amp;"'!A:L"),11,FALSE),"")))</f>
        <v/>
      </c>
      <c r="K181" s="17" t="str">
        <f t="shared" ca="1" si="37"/>
        <v>包6</v>
      </c>
    </row>
    <row r="182" spans="1:11" ht="18" customHeight="1" x14ac:dyDescent="0.15">
      <c r="A182" s="10">
        <f ca="1">COUNTIF(K$8:K182,K182)-1</f>
        <v>6</v>
      </c>
      <c r="B182" s="11" t="str">
        <f t="shared" ref="B182:B190" ca="1" si="110">IFERROR(VLOOKUP(A182,INDIRECT("'"&amp;K182&amp;"'!A:I"),3,FALSE),"")</f>
        <v/>
      </c>
      <c r="C182" s="11" t="str">
        <f t="shared" ref="C182:C190" ca="1" si="111">IFERROR(VLOOKUP(A182,INDIRECT("'"&amp;K182&amp;"'!A:I"),4,FALSE),"")</f>
        <v/>
      </c>
      <c r="D182" s="12" t="str">
        <f t="shared" ref="D182:D190" ca="1" si="112">IFERROR(VLOOKUP(A182,INDIRECT("'"&amp;K182&amp;"'!A:I"),5,FALSE),"")</f>
        <v/>
      </c>
      <c r="E182" s="11" t="str">
        <f t="shared" ref="E182:E190" ca="1" si="113">IF(B182="","",IF(VLOOKUP(A182,INDIRECT("'"&amp;K182&amp;"'!A:I"),6,FALSE)="","",IFERROR(VLOOKUP(A182,INDIRECT("'"&amp;K182&amp;"'!A:I"),6,FALSE),"")))</f>
        <v/>
      </c>
      <c r="F182" s="13" t="str">
        <f t="shared" ref="F182:F190" ca="1" si="114">IFERROR(VLOOKUP(A182,INDIRECT("'"&amp;K182&amp;"'!A:I"),7,FALSE),"")</f>
        <v/>
      </c>
      <c r="G182" s="14" t="str">
        <f t="shared" ref="G182:G190" ca="1" si="115">IFERROR(VLOOKUP(A182,INDIRECT("'"&amp;K182&amp;"'!A:I"),8,FALSE),"")</f>
        <v/>
      </c>
      <c r="H182" s="15" t="str">
        <f t="shared" ref="H182:H190" ca="1" si="116">IFERROR(VLOOKUP(A182,INDIRECT("'"&amp;K182&amp;"'!A:I"),9,FALSE),"")</f>
        <v/>
      </c>
      <c r="I182" s="19" t="str">
        <f t="shared" ref="I182:I190" ca="1" si="117">IFERROR(G182*H182,"")</f>
        <v/>
      </c>
      <c r="J182" s="20" t="str">
        <f t="shared" ref="J182:J190" ca="1" si="118">IF(B182="","",IF(VLOOKUP(A182,INDIRECT("'"&amp;K182&amp;"'!A:L"),11,FALSE)="","",IFERROR(VLOOKUP(A182,INDIRECT("'"&amp;K182&amp;"'!A:L"),11,FALSE),"")))</f>
        <v/>
      </c>
      <c r="K182" s="17" t="str">
        <f t="shared" ca="1" si="37"/>
        <v>包6</v>
      </c>
    </row>
    <row r="183" spans="1:11" ht="18" customHeight="1" x14ac:dyDescent="0.15">
      <c r="A183" s="10">
        <f ca="1">COUNTIF(K$8:K183,K183)-1</f>
        <v>7</v>
      </c>
      <c r="B183" s="11" t="str">
        <f t="shared" ca="1" si="110"/>
        <v/>
      </c>
      <c r="C183" s="11" t="str">
        <f t="shared" ca="1" si="111"/>
        <v/>
      </c>
      <c r="D183" s="12" t="str">
        <f t="shared" ca="1" si="112"/>
        <v/>
      </c>
      <c r="E183" s="11" t="str">
        <f t="shared" ca="1" si="113"/>
        <v/>
      </c>
      <c r="F183" s="13" t="str">
        <f t="shared" ca="1" si="114"/>
        <v/>
      </c>
      <c r="G183" s="14" t="str">
        <f t="shared" ca="1" si="115"/>
        <v/>
      </c>
      <c r="H183" s="15" t="str">
        <f t="shared" ca="1" si="116"/>
        <v/>
      </c>
      <c r="I183" s="19" t="str">
        <f t="shared" ca="1" si="117"/>
        <v/>
      </c>
      <c r="J183" s="20" t="str">
        <f t="shared" ca="1" si="118"/>
        <v/>
      </c>
      <c r="K183" s="17" t="str">
        <f t="shared" ca="1" si="37"/>
        <v>包6</v>
      </c>
    </row>
    <row r="184" spans="1:11" ht="18" customHeight="1" x14ac:dyDescent="0.15">
      <c r="A184" s="10">
        <f ca="1">COUNTIF(K$8:K184,K184)-1</f>
        <v>8</v>
      </c>
      <c r="B184" s="11" t="str">
        <f t="shared" ca="1" si="110"/>
        <v/>
      </c>
      <c r="C184" s="11" t="str">
        <f t="shared" ca="1" si="111"/>
        <v/>
      </c>
      <c r="D184" s="12" t="str">
        <f t="shared" ca="1" si="112"/>
        <v/>
      </c>
      <c r="E184" s="11" t="str">
        <f t="shared" ca="1" si="113"/>
        <v/>
      </c>
      <c r="F184" s="13" t="str">
        <f t="shared" ca="1" si="114"/>
        <v/>
      </c>
      <c r="G184" s="14" t="str">
        <f t="shared" ca="1" si="115"/>
        <v/>
      </c>
      <c r="H184" s="15" t="str">
        <f t="shared" ca="1" si="116"/>
        <v/>
      </c>
      <c r="I184" s="19" t="str">
        <f t="shared" ca="1" si="117"/>
        <v/>
      </c>
      <c r="J184" s="20" t="str">
        <f t="shared" ca="1" si="118"/>
        <v/>
      </c>
      <c r="K184" s="17" t="str">
        <f t="shared" ca="1" si="37"/>
        <v>包6</v>
      </c>
    </row>
    <row r="185" spans="1:11" ht="18" customHeight="1" x14ac:dyDescent="0.15">
      <c r="A185" s="10">
        <f ca="1">COUNTIF(K$8:K185,K185)-1</f>
        <v>9</v>
      </c>
      <c r="B185" s="11" t="str">
        <f t="shared" ca="1" si="110"/>
        <v/>
      </c>
      <c r="C185" s="11" t="str">
        <f t="shared" ca="1" si="111"/>
        <v/>
      </c>
      <c r="D185" s="12" t="str">
        <f t="shared" ca="1" si="112"/>
        <v/>
      </c>
      <c r="E185" s="11" t="str">
        <f t="shared" ca="1" si="113"/>
        <v/>
      </c>
      <c r="F185" s="13" t="str">
        <f t="shared" ca="1" si="114"/>
        <v/>
      </c>
      <c r="G185" s="14" t="str">
        <f t="shared" ca="1" si="115"/>
        <v/>
      </c>
      <c r="H185" s="15" t="str">
        <f t="shared" ca="1" si="116"/>
        <v/>
      </c>
      <c r="I185" s="19" t="str">
        <f t="shared" ca="1" si="117"/>
        <v/>
      </c>
      <c r="J185" s="20" t="str">
        <f t="shared" ca="1" si="118"/>
        <v/>
      </c>
      <c r="K185" s="17" t="str">
        <f t="shared" ca="1" si="37"/>
        <v>包6</v>
      </c>
    </row>
    <row r="186" spans="1:11" ht="18" customHeight="1" x14ac:dyDescent="0.15">
      <c r="A186" s="10">
        <f ca="1">COUNTIF(K$8:K186,K186)-1</f>
        <v>10</v>
      </c>
      <c r="B186" s="11" t="str">
        <f t="shared" ca="1" si="110"/>
        <v/>
      </c>
      <c r="C186" s="11" t="str">
        <f t="shared" ca="1" si="111"/>
        <v/>
      </c>
      <c r="D186" s="12" t="str">
        <f t="shared" ca="1" si="112"/>
        <v/>
      </c>
      <c r="E186" s="11" t="str">
        <f t="shared" ca="1" si="113"/>
        <v/>
      </c>
      <c r="F186" s="13" t="str">
        <f t="shared" ca="1" si="114"/>
        <v/>
      </c>
      <c r="G186" s="14" t="str">
        <f t="shared" ca="1" si="115"/>
        <v/>
      </c>
      <c r="H186" s="15" t="str">
        <f t="shared" ca="1" si="116"/>
        <v/>
      </c>
      <c r="I186" s="19" t="str">
        <f t="shared" ca="1" si="117"/>
        <v/>
      </c>
      <c r="J186" s="20" t="str">
        <f t="shared" ca="1" si="118"/>
        <v/>
      </c>
      <c r="K186" s="17" t="str">
        <f t="shared" ca="1" si="37"/>
        <v>包6</v>
      </c>
    </row>
    <row r="187" spans="1:11" ht="18" customHeight="1" x14ac:dyDescent="0.15">
      <c r="A187" s="10">
        <f ca="1">COUNTIF(K$8:K187,K187)-1</f>
        <v>11</v>
      </c>
      <c r="B187" s="11" t="str">
        <f t="shared" ca="1" si="110"/>
        <v/>
      </c>
      <c r="C187" s="11" t="str">
        <f t="shared" ca="1" si="111"/>
        <v/>
      </c>
      <c r="D187" s="12" t="str">
        <f t="shared" ca="1" si="112"/>
        <v/>
      </c>
      <c r="E187" s="11" t="str">
        <f t="shared" ca="1" si="113"/>
        <v/>
      </c>
      <c r="F187" s="13" t="str">
        <f t="shared" ca="1" si="114"/>
        <v/>
      </c>
      <c r="G187" s="14" t="str">
        <f t="shared" ca="1" si="115"/>
        <v/>
      </c>
      <c r="H187" s="15" t="str">
        <f t="shared" ca="1" si="116"/>
        <v/>
      </c>
      <c r="I187" s="19" t="str">
        <f t="shared" ca="1" si="117"/>
        <v/>
      </c>
      <c r="J187" s="20" t="str">
        <f t="shared" ca="1" si="118"/>
        <v/>
      </c>
      <c r="K187" s="17" t="str">
        <f t="shared" ca="1" si="37"/>
        <v>包6</v>
      </c>
    </row>
    <row r="188" spans="1:11" ht="18" customHeight="1" x14ac:dyDescent="0.15">
      <c r="A188" s="10">
        <f ca="1">COUNTIF(K$8:K188,K188)-1</f>
        <v>12</v>
      </c>
      <c r="B188" s="11" t="str">
        <f t="shared" ca="1" si="110"/>
        <v/>
      </c>
      <c r="C188" s="11" t="str">
        <f t="shared" ca="1" si="111"/>
        <v/>
      </c>
      <c r="D188" s="12" t="str">
        <f t="shared" ca="1" si="112"/>
        <v/>
      </c>
      <c r="E188" s="11" t="str">
        <f t="shared" ca="1" si="113"/>
        <v/>
      </c>
      <c r="F188" s="13" t="str">
        <f t="shared" ca="1" si="114"/>
        <v/>
      </c>
      <c r="G188" s="14" t="str">
        <f t="shared" ca="1" si="115"/>
        <v/>
      </c>
      <c r="H188" s="15" t="str">
        <f t="shared" ca="1" si="116"/>
        <v/>
      </c>
      <c r="I188" s="19" t="str">
        <f t="shared" ca="1" si="117"/>
        <v/>
      </c>
      <c r="J188" s="20" t="str">
        <f t="shared" ca="1" si="118"/>
        <v/>
      </c>
      <c r="K188" s="17" t="str">
        <f t="shared" ca="1" si="37"/>
        <v>包6</v>
      </c>
    </row>
    <row r="189" spans="1:11" ht="18" customHeight="1" x14ac:dyDescent="0.15">
      <c r="A189" s="10">
        <f ca="1">COUNTIF(K$8:K189,K189)-1</f>
        <v>13</v>
      </c>
      <c r="B189" s="11" t="str">
        <f t="shared" ca="1" si="110"/>
        <v/>
      </c>
      <c r="C189" s="11" t="str">
        <f t="shared" ca="1" si="111"/>
        <v/>
      </c>
      <c r="D189" s="12" t="str">
        <f t="shared" ca="1" si="112"/>
        <v/>
      </c>
      <c r="E189" s="11" t="str">
        <f t="shared" ca="1" si="113"/>
        <v/>
      </c>
      <c r="F189" s="13" t="str">
        <f t="shared" ca="1" si="114"/>
        <v/>
      </c>
      <c r="G189" s="14" t="str">
        <f t="shared" ca="1" si="115"/>
        <v/>
      </c>
      <c r="H189" s="15" t="str">
        <f t="shared" ca="1" si="116"/>
        <v/>
      </c>
      <c r="I189" s="19" t="str">
        <f t="shared" ca="1" si="117"/>
        <v/>
      </c>
      <c r="J189" s="20" t="str">
        <f t="shared" ca="1" si="118"/>
        <v/>
      </c>
      <c r="K189" s="17" t="str">
        <f t="shared" ca="1" si="37"/>
        <v>包6</v>
      </c>
    </row>
    <row r="190" spans="1:11" ht="18" customHeight="1" x14ac:dyDescent="0.15">
      <c r="A190" s="10">
        <f ca="1">COUNTIF(K$8:K190,K190)-1</f>
        <v>14</v>
      </c>
      <c r="B190" s="11" t="str">
        <f t="shared" ca="1" si="110"/>
        <v/>
      </c>
      <c r="C190" s="11" t="str">
        <f t="shared" ca="1" si="111"/>
        <v/>
      </c>
      <c r="D190" s="12" t="str">
        <f t="shared" ca="1" si="112"/>
        <v/>
      </c>
      <c r="E190" s="11" t="str">
        <f t="shared" ca="1" si="113"/>
        <v/>
      </c>
      <c r="F190" s="13" t="str">
        <f t="shared" ca="1" si="114"/>
        <v/>
      </c>
      <c r="G190" s="14" t="str">
        <f t="shared" ca="1" si="115"/>
        <v/>
      </c>
      <c r="H190" s="15" t="str">
        <f t="shared" ca="1" si="116"/>
        <v/>
      </c>
      <c r="I190" s="19" t="str">
        <f t="shared" ca="1" si="117"/>
        <v/>
      </c>
      <c r="J190" s="20" t="str">
        <f t="shared" ca="1" si="118"/>
        <v/>
      </c>
      <c r="K190" s="17" t="str">
        <f t="shared" ca="1" si="37"/>
        <v>包6</v>
      </c>
    </row>
    <row r="191" spans="1:11" ht="18" customHeight="1" x14ac:dyDescent="0.15">
      <c r="A191" s="10">
        <f ca="1">COUNTIF(K$8:K191,K191)-1</f>
        <v>15</v>
      </c>
      <c r="B191" s="11" t="str">
        <f ca="1">IFERROR(VLOOKUP(A191,INDIRECT("'"&amp;K191&amp;"'!A:I"),3,FALSE),"")</f>
        <v/>
      </c>
      <c r="C191" s="11" t="str">
        <f ca="1">IFERROR(VLOOKUP(A191,INDIRECT("'"&amp;K191&amp;"'!A:I"),4,FALSE),"")</f>
        <v/>
      </c>
      <c r="D191" s="12" t="str">
        <f ca="1">IFERROR(VLOOKUP(A191,INDIRECT("'"&amp;K191&amp;"'!A:I"),5,FALSE),"")</f>
        <v/>
      </c>
      <c r="E191" s="11" t="str">
        <f ca="1">IF(B191="","",IF(VLOOKUP(A191,INDIRECT("'"&amp;K191&amp;"'!A:I"),6,FALSE)="","",IFERROR(VLOOKUP(A191,INDIRECT("'"&amp;K191&amp;"'!A:I"),6,FALSE),"")))</f>
        <v/>
      </c>
      <c r="F191" s="13" t="str">
        <f ca="1">IFERROR(VLOOKUP(A191,INDIRECT("'"&amp;K191&amp;"'!A:I"),7,FALSE),"")</f>
        <v/>
      </c>
      <c r="G191" s="14" t="str">
        <f ca="1">IFERROR(VLOOKUP(A191,INDIRECT("'"&amp;K191&amp;"'!A:I"),8,FALSE),"")</f>
        <v/>
      </c>
      <c r="H191" s="15" t="str">
        <f ca="1">IFERROR(VLOOKUP(A191,INDIRECT("'"&amp;K191&amp;"'!A:I"),9,FALSE),"")</f>
        <v/>
      </c>
      <c r="I191" s="19" t="str">
        <f ca="1">IFERROR(G191*H191,"")</f>
        <v/>
      </c>
      <c r="J191" s="20" t="str">
        <f ca="1">IF(B191="","",IF(VLOOKUP(A191,INDIRECT("'"&amp;K191&amp;"'!A:L"),11,FALSE)="","",IFERROR(VLOOKUP(A191,INDIRECT("'"&amp;K191&amp;"'!A:L"),11,FALSE),"")))</f>
        <v/>
      </c>
      <c r="K191" s="17" t="str">
        <f t="shared" ca="1" si="37"/>
        <v>包6</v>
      </c>
    </row>
    <row r="192" spans="1:11" ht="18" customHeight="1" x14ac:dyDescent="0.15">
      <c r="A192" s="10">
        <f ca="1">COUNTIF(K$8:K192,K192)-1</f>
        <v>16</v>
      </c>
      <c r="B192" s="11" t="str">
        <f ca="1">IFERROR(VLOOKUP(A192,INDIRECT("'"&amp;K192&amp;"'!A:I"),3,FALSE),"")</f>
        <v/>
      </c>
      <c r="C192" s="11" t="str">
        <f ca="1">IFERROR(VLOOKUP(A192,INDIRECT("'"&amp;K192&amp;"'!A:I"),4,FALSE),"")</f>
        <v/>
      </c>
      <c r="D192" s="12" t="str">
        <f ca="1">IFERROR(VLOOKUP(A192,INDIRECT("'"&amp;K192&amp;"'!A:I"),5,FALSE),"")</f>
        <v/>
      </c>
      <c r="E192" s="11" t="str">
        <f ca="1">IF(B192="","",IF(VLOOKUP(A192,INDIRECT("'"&amp;K192&amp;"'!A:I"),6,FALSE)="","",IFERROR(VLOOKUP(A192,INDIRECT("'"&amp;K192&amp;"'!A:I"),6,FALSE),"")))</f>
        <v/>
      </c>
      <c r="F192" s="13" t="str">
        <f ca="1">IFERROR(VLOOKUP(A192,INDIRECT("'"&amp;K192&amp;"'!A:I"),7,FALSE),"")</f>
        <v/>
      </c>
      <c r="G192" s="14" t="str">
        <f ca="1">IFERROR(VLOOKUP(A192,INDIRECT("'"&amp;K192&amp;"'!A:I"),8,FALSE),"")</f>
        <v/>
      </c>
      <c r="H192" s="15" t="str">
        <f ca="1">IFERROR(VLOOKUP(A192,INDIRECT("'"&amp;K192&amp;"'!A:I"),9,FALSE),"")</f>
        <v/>
      </c>
      <c r="I192" s="19" t="str">
        <f ca="1">IFERROR(G192*H192,"")</f>
        <v/>
      </c>
      <c r="J192" s="20" t="str">
        <f ca="1">IF(B192="","",IF(VLOOKUP(A192,INDIRECT("'"&amp;K192&amp;"'!A:L"),11,FALSE)="","",IFERROR(VLOOKUP(A192,INDIRECT("'"&amp;K192&amp;"'!A:L"),11,FALSE),"")))</f>
        <v/>
      </c>
      <c r="K192" s="17" t="str">
        <f t="shared" ca="1" si="37"/>
        <v>包6</v>
      </c>
    </row>
    <row r="193" spans="1:11" ht="18" customHeight="1" x14ac:dyDescent="0.15">
      <c r="A193" s="10">
        <f ca="1">COUNTIF(K$8:K193,K193)-1</f>
        <v>17</v>
      </c>
      <c r="B193" s="11" t="str">
        <f ca="1">IFERROR(VLOOKUP(A193,INDIRECT("'"&amp;K193&amp;"'!A:I"),3,FALSE),"")</f>
        <v/>
      </c>
      <c r="C193" s="11" t="str">
        <f ca="1">IFERROR(VLOOKUP(A193,INDIRECT("'"&amp;K193&amp;"'!A:I"),4,FALSE),"")</f>
        <v/>
      </c>
      <c r="D193" s="12" t="str">
        <f ca="1">IFERROR(VLOOKUP(A193,INDIRECT("'"&amp;K193&amp;"'!A:I"),5,FALSE),"")</f>
        <v/>
      </c>
      <c r="E193" s="11" t="str">
        <f ca="1">IF(B193="","",IF(VLOOKUP(A193,INDIRECT("'"&amp;K193&amp;"'!A:I"),6,FALSE)="","",IFERROR(VLOOKUP(A193,INDIRECT("'"&amp;K193&amp;"'!A:I"),6,FALSE),"")))</f>
        <v/>
      </c>
      <c r="F193" s="13" t="str">
        <f ca="1">IFERROR(VLOOKUP(A193,INDIRECT("'"&amp;K193&amp;"'!A:I"),7,FALSE),"")</f>
        <v/>
      </c>
      <c r="G193" s="14" t="str">
        <f ca="1">IFERROR(VLOOKUP(A193,INDIRECT("'"&amp;K193&amp;"'!A:I"),8,FALSE),"")</f>
        <v/>
      </c>
      <c r="H193" s="15" t="str">
        <f ca="1">IFERROR(VLOOKUP(A193,INDIRECT("'"&amp;K193&amp;"'!A:I"),9,FALSE),"")</f>
        <v/>
      </c>
      <c r="I193" s="19" t="str">
        <f ca="1">IFERROR(G193*H193,"")</f>
        <v/>
      </c>
      <c r="J193" s="20" t="str">
        <f ca="1">IF(B193="","",IF(VLOOKUP(A193,INDIRECT("'"&amp;K193&amp;"'!A:L"),11,FALSE)="","",IFERROR(VLOOKUP(A193,INDIRECT("'"&amp;K193&amp;"'!A:L"),11,FALSE),"")))</f>
        <v/>
      </c>
      <c r="K193" s="17" t="str">
        <f t="shared" ca="1" si="37"/>
        <v>包6</v>
      </c>
    </row>
    <row r="194" spans="1:11" ht="18" customHeight="1" x14ac:dyDescent="0.15">
      <c r="A194" s="10">
        <f ca="1">COUNTIF(K$8:K194,K194)-1</f>
        <v>18</v>
      </c>
      <c r="B194" s="11" t="str">
        <f ca="1">IFERROR(VLOOKUP(A194,INDIRECT("'"&amp;K194&amp;"'!A:I"),3,FALSE),"")</f>
        <v/>
      </c>
      <c r="C194" s="11" t="str">
        <f ca="1">IFERROR(VLOOKUP(A194,INDIRECT("'"&amp;K194&amp;"'!A:I"),4,FALSE),"")</f>
        <v/>
      </c>
      <c r="D194" s="12" t="str">
        <f ca="1">IFERROR(VLOOKUP(A194,INDIRECT("'"&amp;K194&amp;"'!A:I"),5,FALSE),"")</f>
        <v/>
      </c>
      <c r="E194" s="11" t="str">
        <f ca="1">IF(B194="","",IF(VLOOKUP(A194,INDIRECT("'"&amp;K194&amp;"'!A:I"),6,FALSE)="","",IFERROR(VLOOKUP(A194,INDIRECT("'"&amp;K194&amp;"'!A:I"),6,FALSE),"")))</f>
        <v/>
      </c>
      <c r="F194" s="13" t="str">
        <f ca="1">IFERROR(VLOOKUP(A194,INDIRECT("'"&amp;K194&amp;"'!A:I"),7,FALSE),"")</f>
        <v/>
      </c>
      <c r="G194" s="14" t="str">
        <f ca="1">IFERROR(VLOOKUP(A194,INDIRECT("'"&amp;K194&amp;"'!A:I"),8,FALSE),"")</f>
        <v/>
      </c>
      <c r="H194" s="15" t="str">
        <f ca="1">IFERROR(VLOOKUP(A194,INDIRECT("'"&amp;K194&amp;"'!A:I"),9,FALSE),"")</f>
        <v/>
      </c>
      <c r="I194" s="19" t="str">
        <f ca="1">IFERROR(G194*H194,"")</f>
        <v/>
      </c>
      <c r="J194" s="20" t="str">
        <f ca="1">IF(B194="","",IF(VLOOKUP(A194,INDIRECT("'"&amp;K194&amp;"'!A:L"),11,FALSE)="","",IFERROR(VLOOKUP(A194,INDIRECT("'"&amp;K194&amp;"'!A:L"),11,FALSE),"")))</f>
        <v/>
      </c>
      <c r="K194" s="17" t="str">
        <f t="shared" ca="1" si="37"/>
        <v>包6</v>
      </c>
    </row>
    <row r="195" spans="1:11" ht="18" customHeight="1" x14ac:dyDescent="0.15">
      <c r="A195" s="10">
        <f ca="1">COUNTIF(K$8:K195,K195)-1</f>
        <v>19</v>
      </c>
      <c r="B195" s="11" t="str">
        <f ca="1">IFERROR(VLOOKUP(A195,INDIRECT("'"&amp;K195&amp;"'!A:I"),3,FALSE),"")</f>
        <v/>
      </c>
      <c r="C195" s="11" t="str">
        <f ca="1">IFERROR(VLOOKUP(A195,INDIRECT("'"&amp;K195&amp;"'!A:I"),4,FALSE),"")</f>
        <v/>
      </c>
      <c r="D195" s="12" t="str">
        <f ca="1">IFERROR(VLOOKUP(A195,INDIRECT("'"&amp;K195&amp;"'!A:I"),5,FALSE),"")</f>
        <v/>
      </c>
      <c r="E195" s="11" t="str">
        <f ca="1">IF(B195="","",IF(VLOOKUP(A195,INDIRECT("'"&amp;K195&amp;"'!A:I"),6,FALSE)="","",IFERROR(VLOOKUP(A195,INDIRECT("'"&amp;K195&amp;"'!A:I"),6,FALSE),"")))</f>
        <v/>
      </c>
      <c r="F195" s="13" t="str">
        <f ca="1">IFERROR(VLOOKUP(A195,INDIRECT("'"&amp;K195&amp;"'!A:I"),7,FALSE),"")</f>
        <v/>
      </c>
      <c r="G195" s="14" t="str">
        <f ca="1">IFERROR(VLOOKUP(A195,INDIRECT("'"&amp;K195&amp;"'!A:I"),8,FALSE),"")</f>
        <v/>
      </c>
      <c r="H195" s="15" t="str">
        <f ca="1">IFERROR(VLOOKUP(A195,INDIRECT("'"&amp;K195&amp;"'!A:I"),9,FALSE),"")</f>
        <v/>
      </c>
      <c r="I195" s="19" t="str">
        <f ca="1">IFERROR(G195*H195,"")</f>
        <v/>
      </c>
      <c r="J195" s="20" t="str">
        <f ca="1">IF(B195="","",IF(VLOOKUP(A195,INDIRECT("'"&amp;K195&amp;"'!A:L"),11,FALSE)="","",IFERROR(VLOOKUP(A195,INDIRECT("'"&amp;K195&amp;"'!A:L"),11,FALSE),"")))</f>
        <v/>
      </c>
      <c r="K195" s="17" t="str">
        <f t="shared" ca="1" si="37"/>
        <v>包6</v>
      </c>
    </row>
    <row r="196" spans="1:11" ht="18" customHeight="1" x14ac:dyDescent="0.15">
      <c r="A196" s="10">
        <f ca="1">COUNTIF(K$8:K196,K196)-1</f>
        <v>20</v>
      </c>
      <c r="B196" s="11" t="str">
        <f t="shared" ref="B196:B204" ca="1" si="119">IFERROR(VLOOKUP(A196,INDIRECT("'"&amp;K196&amp;"'!A:I"),3,FALSE),"")</f>
        <v/>
      </c>
      <c r="C196" s="11" t="str">
        <f t="shared" ref="C196:C204" ca="1" si="120">IFERROR(VLOOKUP(A196,INDIRECT("'"&amp;K196&amp;"'!A:I"),4,FALSE),"")</f>
        <v/>
      </c>
      <c r="D196" s="12" t="str">
        <f t="shared" ref="D196:D204" ca="1" si="121">IFERROR(VLOOKUP(A196,INDIRECT("'"&amp;K196&amp;"'!A:I"),5,FALSE),"")</f>
        <v/>
      </c>
      <c r="E196" s="11" t="str">
        <f t="shared" ref="E196:E204" ca="1" si="122">IF(B196="","",IF(VLOOKUP(A196,INDIRECT("'"&amp;K196&amp;"'!A:I"),6,FALSE)="","",IFERROR(VLOOKUP(A196,INDIRECT("'"&amp;K196&amp;"'!A:I"),6,FALSE),"")))</f>
        <v/>
      </c>
      <c r="F196" s="13" t="str">
        <f t="shared" ref="F196:F204" ca="1" si="123">IFERROR(VLOOKUP(A196,INDIRECT("'"&amp;K196&amp;"'!A:I"),7,FALSE),"")</f>
        <v/>
      </c>
      <c r="G196" s="14" t="str">
        <f t="shared" ref="G196:G204" ca="1" si="124">IFERROR(VLOOKUP(A196,INDIRECT("'"&amp;K196&amp;"'!A:I"),8,FALSE),"")</f>
        <v/>
      </c>
      <c r="H196" s="15" t="str">
        <f t="shared" ref="H196:H204" ca="1" si="125">IFERROR(VLOOKUP(A196,INDIRECT("'"&amp;K196&amp;"'!A:I"),9,FALSE),"")</f>
        <v/>
      </c>
      <c r="I196" s="19" t="str">
        <f t="shared" ref="I196:I204" ca="1" si="126">IFERROR(G196*H196,"")</f>
        <v/>
      </c>
      <c r="J196" s="20" t="str">
        <f t="shared" ref="J196:J204" ca="1" si="127">IF(B196="","",IF(VLOOKUP(A196,INDIRECT("'"&amp;K196&amp;"'!A:L"),11,FALSE)="","",IFERROR(VLOOKUP(A196,INDIRECT("'"&amp;K196&amp;"'!A:L"),11,FALSE),"")))</f>
        <v/>
      </c>
      <c r="K196" s="17" t="str">
        <f t="shared" ca="1" si="37"/>
        <v>包6</v>
      </c>
    </row>
    <row r="197" spans="1:11" ht="18" customHeight="1" x14ac:dyDescent="0.15">
      <c r="A197" s="10">
        <f ca="1">COUNTIF(K$8:K197,K197)-1</f>
        <v>21</v>
      </c>
      <c r="B197" s="11" t="str">
        <f t="shared" ca="1" si="119"/>
        <v/>
      </c>
      <c r="C197" s="11" t="str">
        <f t="shared" ca="1" si="120"/>
        <v/>
      </c>
      <c r="D197" s="12" t="str">
        <f t="shared" ca="1" si="121"/>
        <v/>
      </c>
      <c r="E197" s="11" t="str">
        <f t="shared" ca="1" si="122"/>
        <v/>
      </c>
      <c r="F197" s="13" t="str">
        <f t="shared" ca="1" si="123"/>
        <v/>
      </c>
      <c r="G197" s="14" t="str">
        <f t="shared" ca="1" si="124"/>
        <v/>
      </c>
      <c r="H197" s="15" t="str">
        <f t="shared" ca="1" si="125"/>
        <v/>
      </c>
      <c r="I197" s="19" t="str">
        <f t="shared" ca="1" si="126"/>
        <v/>
      </c>
      <c r="J197" s="20" t="str">
        <f t="shared" ca="1" si="127"/>
        <v/>
      </c>
      <c r="K197" s="17" t="str">
        <f t="shared" ca="1" si="37"/>
        <v>包6</v>
      </c>
    </row>
    <row r="198" spans="1:11" ht="18" customHeight="1" x14ac:dyDescent="0.15">
      <c r="A198" s="10">
        <f ca="1">COUNTIF(K$8:K198,K198)-1</f>
        <v>22</v>
      </c>
      <c r="B198" s="11" t="str">
        <f t="shared" ca="1" si="119"/>
        <v/>
      </c>
      <c r="C198" s="11" t="str">
        <f t="shared" ca="1" si="120"/>
        <v/>
      </c>
      <c r="D198" s="12" t="str">
        <f t="shared" ca="1" si="121"/>
        <v/>
      </c>
      <c r="E198" s="11" t="str">
        <f t="shared" ca="1" si="122"/>
        <v/>
      </c>
      <c r="F198" s="13" t="str">
        <f t="shared" ca="1" si="123"/>
        <v/>
      </c>
      <c r="G198" s="14" t="str">
        <f t="shared" ca="1" si="124"/>
        <v/>
      </c>
      <c r="H198" s="15" t="str">
        <f t="shared" ca="1" si="125"/>
        <v/>
      </c>
      <c r="I198" s="19" t="str">
        <f t="shared" ca="1" si="126"/>
        <v/>
      </c>
      <c r="J198" s="20" t="str">
        <f t="shared" ca="1" si="127"/>
        <v/>
      </c>
      <c r="K198" s="17" t="str">
        <f t="shared" ca="1" si="37"/>
        <v>包6</v>
      </c>
    </row>
    <row r="199" spans="1:11" ht="18" customHeight="1" x14ac:dyDescent="0.15">
      <c r="A199" s="10">
        <f ca="1">COUNTIF(K$8:K199,K199)-1</f>
        <v>23</v>
      </c>
      <c r="B199" s="11" t="str">
        <f t="shared" ca="1" si="119"/>
        <v/>
      </c>
      <c r="C199" s="11" t="str">
        <f t="shared" ca="1" si="120"/>
        <v/>
      </c>
      <c r="D199" s="12" t="str">
        <f t="shared" ca="1" si="121"/>
        <v/>
      </c>
      <c r="E199" s="11" t="str">
        <f t="shared" ca="1" si="122"/>
        <v/>
      </c>
      <c r="F199" s="13" t="str">
        <f t="shared" ca="1" si="123"/>
        <v/>
      </c>
      <c r="G199" s="14" t="str">
        <f t="shared" ca="1" si="124"/>
        <v/>
      </c>
      <c r="H199" s="15" t="str">
        <f t="shared" ca="1" si="125"/>
        <v/>
      </c>
      <c r="I199" s="19" t="str">
        <f t="shared" ca="1" si="126"/>
        <v/>
      </c>
      <c r="J199" s="20" t="str">
        <f t="shared" ca="1" si="127"/>
        <v/>
      </c>
      <c r="K199" s="17" t="str">
        <f t="shared" ca="1" si="37"/>
        <v>包6</v>
      </c>
    </row>
    <row r="200" spans="1:11" ht="18" customHeight="1" x14ac:dyDescent="0.15">
      <c r="A200" s="10">
        <f ca="1">COUNTIF(K$8:K200,K200)-1</f>
        <v>24</v>
      </c>
      <c r="B200" s="11" t="str">
        <f t="shared" ca="1" si="119"/>
        <v/>
      </c>
      <c r="C200" s="11" t="str">
        <f t="shared" ca="1" si="120"/>
        <v/>
      </c>
      <c r="D200" s="12" t="str">
        <f t="shared" ca="1" si="121"/>
        <v/>
      </c>
      <c r="E200" s="11" t="str">
        <f t="shared" ca="1" si="122"/>
        <v/>
      </c>
      <c r="F200" s="13" t="str">
        <f t="shared" ca="1" si="123"/>
        <v/>
      </c>
      <c r="G200" s="14" t="str">
        <f t="shared" ca="1" si="124"/>
        <v/>
      </c>
      <c r="H200" s="15" t="str">
        <f t="shared" ca="1" si="125"/>
        <v/>
      </c>
      <c r="I200" s="19" t="str">
        <f t="shared" ca="1" si="126"/>
        <v/>
      </c>
      <c r="J200" s="20" t="str">
        <f t="shared" ca="1" si="127"/>
        <v/>
      </c>
      <c r="K200" s="17" t="str">
        <f t="shared" ca="1" si="37"/>
        <v>包6</v>
      </c>
    </row>
    <row r="201" spans="1:11" ht="18" customHeight="1" x14ac:dyDescent="0.15">
      <c r="A201" s="10">
        <f ca="1">COUNTIF(K$8:K201,K201)-1</f>
        <v>25</v>
      </c>
      <c r="B201" s="11" t="str">
        <f t="shared" ca="1" si="119"/>
        <v/>
      </c>
      <c r="C201" s="11" t="str">
        <f t="shared" ca="1" si="120"/>
        <v/>
      </c>
      <c r="D201" s="12" t="str">
        <f t="shared" ca="1" si="121"/>
        <v/>
      </c>
      <c r="E201" s="11" t="str">
        <f t="shared" ca="1" si="122"/>
        <v/>
      </c>
      <c r="F201" s="13" t="str">
        <f t="shared" ca="1" si="123"/>
        <v/>
      </c>
      <c r="G201" s="14" t="str">
        <f t="shared" ca="1" si="124"/>
        <v/>
      </c>
      <c r="H201" s="15" t="str">
        <f t="shared" ca="1" si="125"/>
        <v/>
      </c>
      <c r="I201" s="19" t="str">
        <f t="shared" ca="1" si="126"/>
        <v/>
      </c>
      <c r="J201" s="20" t="str">
        <f t="shared" ca="1" si="127"/>
        <v/>
      </c>
      <c r="K201" s="17" t="str">
        <f t="shared" ca="1" si="37"/>
        <v>包6</v>
      </c>
    </row>
    <row r="202" spans="1:11" ht="18" customHeight="1" x14ac:dyDescent="0.15">
      <c r="A202" s="10">
        <f ca="1">COUNTIF(K$8:K202,K202)-1</f>
        <v>26</v>
      </c>
      <c r="B202" s="11" t="str">
        <f t="shared" ca="1" si="119"/>
        <v/>
      </c>
      <c r="C202" s="11" t="str">
        <f t="shared" ca="1" si="120"/>
        <v/>
      </c>
      <c r="D202" s="12" t="str">
        <f t="shared" ca="1" si="121"/>
        <v/>
      </c>
      <c r="E202" s="11" t="str">
        <f t="shared" ca="1" si="122"/>
        <v/>
      </c>
      <c r="F202" s="13" t="str">
        <f t="shared" ca="1" si="123"/>
        <v/>
      </c>
      <c r="G202" s="14" t="str">
        <f t="shared" ca="1" si="124"/>
        <v/>
      </c>
      <c r="H202" s="15" t="str">
        <f t="shared" ca="1" si="125"/>
        <v/>
      </c>
      <c r="I202" s="19" t="str">
        <f t="shared" ca="1" si="126"/>
        <v/>
      </c>
      <c r="J202" s="20" t="str">
        <f t="shared" ca="1" si="127"/>
        <v/>
      </c>
      <c r="K202" s="17" t="str">
        <f t="shared" ca="1" si="37"/>
        <v>包6</v>
      </c>
    </row>
    <row r="203" spans="1:11" ht="18" customHeight="1" x14ac:dyDescent="0.15">
      <c r="A203" s="10">
        <f ca="1">COUNTIF(K$8:K203,K203)-1</f>
        <v>27</v>
      </c>
      <c r="B203" s="11" t="str">
        <f t="shared" ca="1" si="119"/>
        <v/>
      </c>
      <c r="C203" s="11" t="str">
        <f t="shared" ca="1" si="120"/>
        <v/>
      </c>
      <c r="D203" s="12" t="str">
        <f t="shared" ca="1" si="121"/>
        <v/>
      </c>
      <c r="E203" s="11" t="str">
        <f t="shared" ca="1" si="122"/>
        <v/>
      </c>
      <c r="F203" s="13" t="str">
        <f t="shared" ca="1" si="123"/>
        <v/>
      </c>
      <c r="G203" s="14" t="str">
        <f t="shared" ca="1" si="124"/>
        <v/>
      </c>
      <c r="H203" s="15" t="str">
        <f t="shared" ca="1" si="125"/>
        <v/>
      </c>
      <c r="I203" s="19" t="str">
        <f t="shared" ca="1" si="126"/>
        <v/>
      </c>
      <c r="J203" s="20" t="str">
        <f t="shared" ca="1" si="127"/>
        <v/>
      </c>
      <c r="K203" s="17" t="str">
        <f t="shared" ca="1" si="37"/>
        <v>包6</v>
      </c>
    </row>
    <row r="204" spans="1:11" ht="18" customHeight="1" x14ac:dyDescent="0.15">
      <c r="A204" s="10">
        <f ca="1">COUNTIF(K$8:K204,K204)-1</f>
        <v>28</v>
      </c>
      <c r="B204" s="11" t="str">
        <f t="shared" ca="1" si="119"/>
        <v/>
      </c>
      <c r="C204" s="11" t="str">
        <f t="shared" ca="1" si="120"/>
        <v/>
      </c>
      <c r="D204" s="12" t="str">
        <f t="shared" ca="1" si="121"/>
        <v/>
      </c>
      <c r="E204" s="11" t="str">
        <f t="shared" ca="1" si="122"/>
        <v/>
      </c>
      <c r="F204" s="13" t="str">
        <f t="shared" ca="1" si="123"/>
        <v/>
      </c>
      <c r="G204" s="14" t="str">
        <f t="shared" ca="1" si="124"/>
        <v/>
      </c>
      <c r="H204" s="15" t="str">
        <f t="shared" ca="1" si="125"/>
        <v/>
      </c>
      <c r="I204" s="19" t="str">
        <f t="shared" ca="1" si="126"/>
        <v/>
      </c>
      <c r="J204" s="20" t="str">
        <f t="shared" ca="1" si="127"/>
        <v/>
      </c>
      <c r="K204" s="17" t="str">
        <f t="shared" ca="1" si="37"/>
        <v>包6</v>
      </c>
    </row>
    <row r="205" spans="1:11" ht="18" customHeight="1" x14ac:dyDescent="0.15">
      <c r="A205" s="10">
        <f ca="1">COUNTIF(K$8:K205,K205)-1</f>
        <v>29</v>
      </c>
      <c r="B205" s="11" t="str">
        <f ca="1">IFERROR(VLOOKUP(A205,INDIRECT("'"&amp;K205&amp;"'!A:I"),3,FALSE),"")</f>
        <v/>
      </c>
      <c r="C205" s="11" t="str">
        <f ca="1">IFERROR(VLOOKUP(A205,INDIRECT("'"&amp;K205&amp;"'!A:I"),4,FALSE),"")</f>
        <v/>
      </c>
      <c r="D205" s="12" t="str">
        <f ca="1">IFERROR(VLOOKUP(A205,INDIRECT("'"&amp;K205&amp;"'!A:I"),5,FALSE),"")</f>
        <v/>
      </c>
      <c r="E205" s="11" t="str">
        <f ca="1">IF(B205="","",IF(VLOOKUP(A205,INDIRECT("'"&amp;K205&amp;"'!A:I"),6,FALSE)="","",IFERROR(VLOOKUP(A205,INDIRECT("'"&amp;K205&amp;"'!A:I"),6,FALSE),"")))</f>
        <v/>
      </c>
      <c r="F205" s="13" t="str">
        <f ca="1">IFERROR(VLOOKUP(A205,INDIRECT("'"&amp;K205&amp;"'!A:I"),7,FALSE),"")</f>
        <v/>
      </c>
      <c r="G205" s="14" t="str">
        <f ca="1">IFERROR(VLOOKUP(A205,INDIRECT("'"&amp;K205&amp;"'!A:I"),8,FALSE),"")</f>
        <v/>
      </c>
      <c r="H205" s="15" t="str">
        <f ca="1">IFERROR(VLOOKUP(A205,INDIRECT("'"&amp;K205&amp;"'!A:I"),9,FALSE),"")</f>
        <v/>
      </c>
      <c r="I205" s="19" t="str">
        <f ca="1">IFERROR(G205*H205,"")</f>
        <v/>
      </c>
      <c r="J205" s="20" t="str">
        <f ca="1">IF(B205="","",IF(VLOOKUP(A205,INDIRECT("'"&amp;K205&amp;"'!A:L"),11,FALSE)="","",IFERROR(VLOOKUP(A205,INDIRECT("'"&amp;K205&amp;"'!A:L"),11,FALSE),"")))</f>
        <v/>
      </c>
      <c r="K205" s="17" t="str">
        <f t="shared" ca="1" si="37"/>
        <v>包6</v>
      </c>
    </row>
    <row r="206" spans="1:11" ht="18" customHeight="1" x14ac:dyDescent="0.15">
      <c r="A206" s="10">
        <f ca="1">COUNTIF(K$8:K206,K206)-1</f>
        <v>30</v>
      </c>
      <c r="B206" s="11" t="str">
        <f ca="1">IFERROR(VLOOKUP(A206,INDIRECT("'"&amp;K206&amp;"'!A:I"),3,FALSE),"")</f>
        <v/>
      </c>
      <c r="C206" s="11" t="str">
        <f ca="1">IFERROR(VLOOKUP(A206,INDIRECT("'"&amp;K206&amp;"'!A:I"),4,FALSE),"")</f>
        <v/>
      </c>
      <c r="D206" s="12" t="str">
        <f ca="1">IFERROR(VLOOKUP(A206,INDIRECT("'"&amp;K206&amp;"'!A:I"),5,FALSE),"")</f>
        <v/>
      </c>
      <c r="E206" s="11" t="str">
        <f ca="1">IF(B206="","",IF(VLOOKUP(A206,INDIRECT("'"&amp;K206&amp;"'!A:I"),6,FALSE)="","",IFERROR(VLOOKUP(A206,INDIRECT("'"&amp;K206&amp;"'!A:I"),6,FALSE),"")))</f>
        <v/>
      </c>
      <c r="F206" s="13" t="str">
        <f ca="1">IFERROR(VLOOKUP(A206,INDIRECT("'"&amp;K206&amp;"'!A:I"),7,FALSE),"")</f>
        <v/>
      </c>
      <c r="G206" s="14" t="str">
        <f ca="1">IFERROR(VLOOKUP(A206,INDIRECT("'"&amp;K206&amp;"'!A:I"),8,FALSE),"")</f>
        <v/>
      </c>
      <c r="H206" s="15" t="str">
        <f ca="1">IFERROR(VLOOKUP(A206,INDIRECT("'"&amp;K206&amp;"'!A:I"),9,FALSE),"")</f>
        <v/>
      </c>
      <c r="I206" s="19" t="str">
        <f ca="1">IFERROR(G206*H206,"")</f>
        <v/>
      </c>
      <c r="J206" s="20" t="str">
        <f ca="1">IF(B206="","",IF(VLOOKUP(A206,INDIRECT("'"&amp;K206&amp;"'!A:L"),11,FALSE)="","",IFERROR(VLOOKUP(A206,INDIRECT("'"&amp;K206&amp;"'!A:L"),11,FALSE),"")))</f>
        <v/>
      </c>
      <c r="K206" s="17" t="str">
        <f t="shared" ca="1" si="37"/>
        <v>包6</v>
      </c>
    </row>
    <row r="207" spans="1:11" ht="18" customHeight="1" x14ac:dyDescent="0.15">
      <c r="A207" s="10">
        <f ca="1">COUNTIF(K$8:K207,K207)-1</f>
        <v>31</v>
      </c>
      <c r="B207" s="11" t="str">
        <f ca="1">IFERROR(VLOOKUP(A207,INDIRECT("'"&amp;K207&amp;"'!A:I"),3,FALSE),"")</f>
        <v/>
      </c>
      <c r="C207" s="11" t="str">
        <f ca="1">IFERROR(VLOOKUP(A207,INDIRECT("'"&amp;K207&amp;"'!A:I"),4,FALSE),"")</f>
        <v/>
      </c>
      <c r="D207" s="12" t="str">
        <f ca="1">IFERROR(VLOOKUP(A207,INDIRECT("'"&amp;K207&amp;"'!A:I"),5,FALSE),"")</f>
        <v/>
      </c>
      <c r="E207" s="11" t="str">
        <f ca="1">IF(B207="","",IF(VLOOKUP(A207,INDIRECT("'"&amp;K207&amp;"'!A:I"),6,FALSE)="","",IFERROR(VLOOKUP(A207,INDIRECT("'"&amp;K207&amp;"'!A:I"),6,FALSE),"")))</f>
        <v/>
      </c>
      <c r="F207" s="13" t="str">
        <f ca="1">IFERROR(VLOOKUP(A207,INDIRECT("'"&amp;K207&amp;"'!A:I"),7,FALSE),"")</f>
        <v/>
      </c>
      <c r="G207" s="14" t="str">
        <f ca="1">IFERROR(VLOOKUP(A207,INDIRECT("'"&amp;K207&amp;"'!A:I"),8,FALSE),"")</f>
        <v/>
      </c>
      <c r="H207" s="15" t="str">
        <f ca="1">IFERROR(VLOOKUP(A207,INDIRECT("'"&amp;K207&amp;"'!A:I"),9,FALSE),"")</f>
        <v/>
      </c>
      <c r="I207" s="19" t="str">
        <f ca="1">IFERROR(G207*H207,"")</f>
        <v/>
      </c>
      <c r="J207" s="20" t="str">
        <f ca="1">IF(B207="","",IF(VLOOKUP(A207,INDIRECT("'"&amp;K207&amp;"'!A:L"),11,FALSE)="","",IFERROR(VLOOKUP(A207,INDIRECT("'"&amp;K207&amp;"'!A:L"),11,FALSE),"")))</f>
        <v/>
      </c>
      <c r="K207" s="17" t="str">
        <f t="shared" ca="1" si="37"/>
        <v>包6</v>
      </c>
    </row>
    <row r="208" spans="1:11" ht="18" customHeight="1" x14ac:dyDescent="0.15">
      <c r="A208" s="10">
        <f ca="1">COUNTIF(K$8:K208,K208)-1</f>
        <v>32</v>
      </c>
      <c r="B208" s="11" t="str">
        <f ca="1">IFERROR(VLOOKUP(A208,INDIRECT("'"&amp;K208&amp;"'!A:I"),3,FALSE),"")</f>
        <v/>
      </c>
      <c r="C208" s="11" t="str">
        <f ca="1">IFERROR(VLOOKUP(A208,INDIRECT("'"&amp;K208&amp;"'!A:I"),4,FALSE),"")</f>
        <v/>
      </c>
      <c r="D208" s="12" t="str">
        <f ca="1">IFERROR(VLOOKUP(A208,INDIRECT("'"&amp;K208&amp;"'!A:I"),5,FALSE),"")</f>
        <v/>
      </c>
      <c r="E208" s="11" t="str">
        <f ca="1">IF(B208="","",IF(VLOOKUP(A208,INDIRECT("'"&amp;K208&amp;"'!A:I"),6,FALSE)="","",IFERROR(VLOOKUP(A208,INDIRECT("'"&amp;K208&amp;"'!A:I"),6,FALSE),"")))</f>
        <v/>
      </c>
      <c r="F208" s="13" t="str">
        <f ca="1">IFERROR(VLOOKUP(A208,INDIRECT("'"&amp;K208&amp;"'!A:I"),7,FALSE),"")</f>
        <v/>
      </c>
      <c r="G208" s="14" t="str">
        <f ca="1">IFERROR(VLOOKUP(A208,INDIRECT("'"&amp;K208&amp;"'!A:I"),8,FALSE),"")</f>
        <v/>
      </c>
      <c r="H208" s="15" t="str">
        <f ca="1">IFERROR(VLOOKUP(A208,INDIRECT("'"&amp;K208&amp;"'!A:I"),9,FALSE),"")</f>
        <v/>
      </c>
      <c r="I208" s="19" t="str">
        <f ca="1">IFERROR(G208*H208,"")</f>
        <v/>
      </c>
      <c r="J208" s="20" t="str">
        <f ca="1">IF(B208="","",IF(VLOOKUP(A208,INDIRECT("'"&amp;K208&amp;"'!A:L"),11,FALSE)="","",IFERROR(VLOOKUP(A208,INDIRECT("'"&amp;K208&amp;"'!A:L"),11,FALSE),"")))</f>
        <v/>
      </c>
      <c r="K208" s="17" t="str">
        <f t="shared" ca="1" si="37"/>
        <v>包6</v>
      </c>
    </row>
    <row r="209" spans="1:11" ht="18" customHeight="1" x14ac:dyDescent="0.15">
      <c r="A209" s="10">
        <f ca="1">COUNTIF(K$8:K209,K209)-1</f>
        <v>33</v>
      </c>
      <c r="B209" s="11" t="str">
        <f ca="1">IFERROR(VLOOKUP(A209,INDIRECT("'"&amp;K209&amp;"'!A:I"),3,FALSE),"")</f>
        <v/>
      </c>
      <c r="C209" s="11" t="str">
        <f ca="1">IFERROR(VLOOKUP(A209,INDIRECT("'"&amp;K209&amp;"'!A:I"),4,FALSE),"")</f>
        <v/>
      </c>
      <c r="D209" s="12" t="str">
        <f ca="1">IFERROR(VLOOKUP(A209,INDIRECT("'"&amp;K209&amp;"'!A:I"),5,FALSE),"")</f>
        <v/>
      </c>
      <c r="E209" s="11" t="str">
        <f ca="1">IF(B209="","",IF(VLOOKUP(A209,INDIRECT("'"&amp;K209&amp;"'!A:I"),6,FALSE)="","",IFERROR(VLOOKUP(A209,INDIRECT("'"&amp;K209&amp;"'!A:I"),6,FALSE),"")))</f>
        <v/>
      </c>
      <c r="F209" s="13" t="str">
        <f ca="1">IFERROR(VLOOKUP(A209,INDIRECT("'"&amp;K209&amp;"'!A:I"),7,FALSE),"")</f>
        <v/>
      </c>
      <c r="G209" s="14" t="str">
        <f ca="1">IFERROR(VLOOKUP(A209,INDIRECT("'"&amp;K209&amp;"'!A:I"),8,FALSE),"")</f>
        <v/>
      </c>
      <c r="H209" s="15" t="str">
        <f ca="1">IFERROR(VLOOKUP(A209,INDIRECT("'"&amp;K209&amp;"'!A:I"),9,FALSE),"")</f>
        <v/>
      </c>
      <c r="I209" s="19" t="str">
        <f ca="1">IFERROR(G209*H209,"")</f>
        <v/>
      </c>
      <c r="J209" s="20" t="str">
        <f ca="1">IF(B209="","",IF(VLOOKUP(A209,INDIRECT("'"&amp;K209&amp;"'!A:L"),11,FALSE)="","",IFERROR(VLOOKUP(A209,INDIRECT("'"&amp;K209&amp;"'!A:L"),11,FALSE),"")))</f>
        <v/>
      </c>
      <c r="K209" s="17" t="str">
        <f t="shared" ca="1" si="37"/>
        <v>包6</v>
      </c>
    </row>
    <row r="210" spans="1:11" ht="18" customHeight="1" x14ac:dyDescent="0.15">
      <c r="A210" s="10">
        <f ca="1">COUNTIF(K$8:K210,K210)-1</f>
        <v>34</v>
      </c>
      <c r="B210" s="11" t="str">
        <f t="shared" ref="B210:B218" ca="1" si="128">IFERROR(VLOOKUP(A210,INDIRECT("'"&amp;K210&amp;"'!A:I"),3,FALSE),"")</f>
        <v/>
      </c>
      <c r="C210" s="11" t="str">
        <f t="shared" ref="C210:C218" ca="1" si="129">IFERROR(VLOOKUP(A210,INDIRECT("'"&amp;K210&amp;"'!A:I"),4,FALSE),"")</f>
        <v/>
      </c>
      <c r="D210" s="12" t="str">
        <f t="shared" ref="D210:D218" ca="1" si="130">IFERROR(VLOOKUP(A210,INDIRECT("'"&amp;K210&amp;"'!A:I"),5,FALSE),"")</f>
        <v/>
      </c>
      <c r="E210" s="11" t="str">
        <f t="shared" ref="E210:E218" ca="1" si="131">IF(B210="","",IF(VLOOKUP(A210,INDIRECT("'"&amp;K210&amp;"'!A:I"),6,FALSE)="","",IFERROR(VLOOKUP(A210,INDIRECT("'"&amp;K210&amp;"'!A:I"),6,FALSE),"")))</f>
        <v/>
      </c>
      <c r="F210" s="13" t="str">
        <f t="shared" ref="F210:F218" ca="1" si="132">IFERROR(VLOOKUP(A210,INDIRECT("'"&amp;K210&amp;"'!A:I"),7,FALSE),"")</f>
        <v/>
      </c>
      <c r="G210" s="14" t="str">
        <f t="shared" ref="G210:G218" ca="1" si="133">IFERROR(VLOOKUP(A210,INDIRECT("'"&amp;K210&amp;"'!A:I"),8,FALSE),"")</f>
        <v/>
      </c>
      <c r="H210" s="15" t="str">
        <f t="shared" ref="H210:H218" ca="1" si="134">IFERROR(VLOOKUP(A210,INDIRECT("'"&amp;K210&amp;"'!A:I"),9,FALSE),"")</f>
        <v/>
      </c>
      <c r="I210" s="19" t="str">
        <f t="shared" ref="I210:I218" ca="1" si="135">IFERROR(G210*H210,"")</f>
        <v/>
      </c>
      <c r="J210" s="20" t="str">
        <f t="shared" ref="J210:J218" ca="1" si="136">IF(B210="","",IF(VLOOKUP(A210,INDIRECT("'"&amp;K210&amp;"'!A:L"),11,FALSE)="","",IFERROR(VLOOKUP(A210,INDIRECT("'"&amp;K210&amp;"'!A:L"),11,FALSE),"")))</f>
        <v/>
      </c>
      <c r="K210" s="17" t="str">
        <f t="shared" ca="1" si="37"/>
        <v>包6</v>
      </c>
    </row>
    <row r="211" spans="1:11" ht="18" customHeight="1" x14ac:dyDescent="0.15">
      <c r="A211" s="10">
        <f ca="1">COUNTIF(K$8:K211,K211)-1</f>
        <v>35</v>
      </c>
      <c r="B211" s="11" t="str">
        <f t="shared" ca="1" si="128"/>
        <v/>
      </c>
      <c r="C211" s="11" t="str">
        <f t="shared" ca="1" si="129"/>
        <v/>
      </c>
      <c r="D211" s="12" t="str">
        <f t="shared" ca="1" si="130"/>
        <v/>
      </c>
      <c r="E211" s="11" t="str">
        <f t="shared" ca="1" si="131"/>
        <v/>
      </c>
      <c r="F211" s="13" t="str">
        <f t="shared" ca="1" si="132"/>
        <v/>
      </c>
      <c r="G211" s="14" t="str">
        <f t="shared" ca="1" si="133"/>
        <v/>
      </c>
      <c r="H211" s="15" t="str">
        <f t="shared" ca="1" si="134"/>
        <v/>
      </c>
      <c r="I211" s="19" t="str">
        <f t="shared" ca="1" si="135"/>
        <v/>
      </c>
      <c r="J211" s="20" t="str">
        <f t="shared" ca="1" si="136"/>
        <v/>
      </c>
      <c r="K211" s="17" t="str">
        <f t="shared" ca="1" si="37"/>
        <v>包6</v>
      </c>
    </row>
    <row r="212" spans="1:11" ht="18" customHeight="1" x14ac:dyDescent="0.15">
      <c r="A212" s="10">
        <f ca="1">COUNTIF(K$8:K212,K212)-1</f>
        <v>36</v>
      </c>
      <c r="B212" s="11" t="str">
        <f t="shared" ca="1" si="128"/>
        <v/>
      </c>
      <c r="C212" s="11" t="str">
        <f t="shared" ca="1" si="129"/>
        <v/>
      </c>
      <c r="D212" s="12" t="str">
        <f t="shared" ca="1" si="130"/>
        <v/>
      </c>
      <c r="E212" s="11" t="str">
        <f t="shared" ca="1" si="131"/>
        <v/>
      </c>
      <c r="F212" s="13" t="str">
        <f t="shared" ca="1" si="132"/>
        <v/>
      </c>
      <c r="G212" s="14" t="str">
        <f t="shared" ca="1" si="133"/>
        <v/>
      </c>
      <c r="H212" s="15" t="str">
        <f t="shared" ca="1" si="134"/>
        <v/>
      </c>
      <c r="I212" s="19" t="str">
        <f t="shared" ca="1" si="135"/>
        <v/>
      </c>
      <c r="J212" s="20" t="str">
        <f t="shared" ca="1" si="136"/>
        <v/>
      </c>
      <c r="K212" s="17" t="str">
        <f t="shared" ca="1" si="37"/>
        <v>包6</v>
      </c>
    </row>
    <row r="213" spans="1:11" ht="18" customHeight="1" x14ac:dyDescent="0.15">
      <c r="A213" s="10">
        <f ca="1">COUNTIF(K$8:K213,K213)-1</f>
        <v>37</v>
      </c>
      <c r="B213" s="11" t="str">
        <f t="shared" ca="1" si="128"/>
        <v/>
      </c>
      <c r="C213" s="11" t="str">
        <f t="shared" ca="1" si="129"/>
        <v/>
      </c>
      <c r="D213" s="12" t="str">
        <f t="shared" ca="1" si="130"/>
        <v/>
      </c>
      <c r="E213" s="11" t="str">
        <f t="shared" ca="1" si="131"/>
        <v/>
      </c>
      <c r="F213" s="13" t="str">
        <f t="shared" ca="1" si="132"/>
        <v/>
      </c>
      <c r="G213" s="14" t="str">
        <f t="shared" ca="1" si="133"/>
        <v/>
      </c>
      <c r="H213" s="15" t="str">
        <f t="shared" ca="1" si="134"/>
        <v/>
      </c>
      <c r="I213" s="19" t="str">
        <f t="shared" ca="1" si="135"/>
        <v/>
      </c>
      <c r="J213" s="20" t="str">
        <f t="shared" ca="1" si="136"/>
        <v/>
      </c>
      <c r="K213" s="17" t="str">
        <f t="shared" ca="1" si="37"/>
        <v>包6</v>
      </c>
    </row>
    <row r="214" spans="1:11" ht="18" customHeight="1" x14ac:dyDescent="0.15">
      <c r="A214" s="10">
        <f ca="1">COUNTIF(K$8:K214,K214)-1</f>
        <v>38</v>
      </c>
      <c r="B214" s="11" t="str">
        <f t="shared" ca="1" si="128"/>
        <v/>
      </c>
      <c r="C214" s="11" t="str">
        <f t="shared" ca="1" si="129"/>
        <v/>
      </c>
      <c r="D214" s="12" t="str">
        <f t="shared" ca="1" si="130"/>
        <v/>
      </c>
      <c r="E214" s="11" t="str">
        <f t="shared" ca="1" si="131"/>
        <v/>
      </c>
      <c r="F214" s="13" t="str">
        <f t="shared" ca="1" si="132"/>
        <v/>
      </c>
      <c r="G214" s="14" t="str">
        <f t="shared" ca="1" si="133"/>
        <v/>
      </c>
      <c r="H214" s="15" t="str">
        <f t="shared" ca="1" si="134"/>
        <v/>
      </c>
      <c r="I214" s="19" t="str">
        <f t="shared" ca="1" si="135"/>
        <v/>
      </c>
      <c r="J214" s="20" t="str">
        <f t="shared" ca="1" si="136"/>
        <v/>
      </c>
      <c r="K214" s="17" t="str">
        <f t="shared" ca="1" si="37"/>
        <v>包6</v>
      </c>
    </row>
    <row r="215" spans="1:11" ht="18" customHeight="1" x14ac:dyDescent="0.15">
      <c r="A215" s="10">
        <f ca="1">COUNTIF(K$8:K215,K215)-1</f>
        <v>39</v>
      </c>
      <c r="B215" s="11" t="str">
        <f t="shared" ca="1" si="128"/>
        <v/>
      </c>
      <c r="C215" s="11" t="str">
        <f t="shared" ca="1" si="129"/>
        <v/>
      </c>
      <c r="D215" s="12" t="str">
        <f t="shared" ca="1" si="130"/>
        <v/>
      </c>
      <c r="E215" s="11" t="str">
        <f t="shared" ca="1" si="131"/>
        <v/>
      </c>
      <c r="F215" s="13" t="str">
        <f t="shared" ca="1" si="132"/>
        <v/>
      </c>
      <c r="G215" s="14" t="str">
        <f t="shared" ca="1" si="133"/>
        <v/>
      </c>
      <c r="H215" s="15" t="str">
        <f t="shared" ca="1" si="134"/>
        <v/>
      </c>
      <c r="I215" s="19" t="str">
        <f t="shared" ca="1" si="135"/>
        <v/>
      </c>
      <c r="J215" s="20" t="str">
        <f t="shared" ca="1" si="136"/>
        <v/>
      </c>
      <c r="K215" s="17" t="str">
        <f t="shared" ca="1" si="37"/>
        <v>包6</v>
      </c>
    </row>
    <row r="216" spans="1:11" ht="18" customHeight="1" x14ac:dyDescent="0.15">
      <c r="A216" s="10">
        <f ca="1">COUNTIF(K$8:K216,K216)-1</f>
        <v>40</v>
      </c>
      <c r="B216" s="11" t="str">
        <f t="shared" ca="1" si="128"/>
        <v/>
      </c>
      <c r="C216" s="11" t="str">
        <f t="shared" ca="1" si="129"/>
        <v/>
      </c>
      <c r="D216" s="12" t="str">
        <f t="shared" ca="1" si="130"/>
        <v/>
      </c>
      <c r="E216" s="11" t="str">
        <f t="shared" ca="1" si="131"/>
        <v/>
      </c>
      <c r="F216" s="13" t="str">
        <f t="shared" ca="1" si="132"/>
        <v/>
      </c>
      <c r="G216" s="14" t="str">
        <f t="shared" ca="1" si="133"/>
        <v/>
      </c>
      <c r="H216" s="15" t="str">
        <f t="shared" ca="1" si="134"/>
        <v/>
      </c>
      <c r="I216" s="19" t="str">
        <f t="shared" ca="1" si="135"/>
        <v/>
      </c>
      <c r="J216" s="20" t="str">
        <f t="shared" ca="1" si="136"/>
        <v/>
      </c>
      <c r="K216" s="17" t="str">
        <f t="shared" ca="1" si="37"/>
        <v>包6</v>
      </c>
    </row>
    <row r="217" spans="1:11" ht="18" customHeight="1" x14ac:dyDescent="0.15">
      <c r="A217" s="10">
        <f ca="1">COUNTIF(K$8:K217,K217)-1</f>
        <v>41</v>
      </c>
      <c r="B217" s="11" t="str">
        <f t="shared" ca="1" si="128"/>
        <v/>
      </c>
      <c r="C217" s="11" t="str">
        <f t="shared" ca="1" si="129"/>
        <v/>
      </c>
      <c r="D217" s="12" t="str">
        <f t="shared" ca="1" si="130"/>
        <v/>
      </c>
      <c r="E217" s="11" t="str">
        <f t="shared" ca="1" si="131"/>
        <v/>
      </c>
      <c r="F217" s="13" t="str">
        <f t="shared" ca="1" si="132"/>
        <v/>
      </c>
      <c r="G217" s="14" t="str">
        <f t="shared" ca="1" si="133"/>
        <v/>
      </c>
      <c r="H217" s="15" t="str">
        <f t="shared" ca="1" si="134"/>
        <v/>
      </c>
      <c r="I217" s="19" t="str">
        <f t="shared" ca="1" si="135"/>
        <v/>
      </c>
      <c r="J217" s="20" t="str">
        <f t="shared" ca="1" si="136"/>
        <v/>
      </c>
      <c r="K217" s="17" t="str">
        <f t="shared" ca="1" si="37"/>
        <v>包6</v>
      </c>
    </row>
    <row r="218" spans="1:11" ht="18" customHeight="1" x14ac:dyDescent="0.15">
      <c r="A218" s="10">
        <f ca="1">COUNTIF(K$8:K218,K218)-1</f>
        <v>42</v>
      </c>
      <c r="B218" s="11" t="str">
        <f t="shared" ca="1" si="128"/>
        <v/>
      </c>
      <c r="C218" s="11" t="str">
        <f t="shared" ca="1" si="129"/>
        <v/>
      </c>
      <c r="D218" s="12" t="str">
        <f t="shared" ca="1" si="130"/>
        <v/>
      </c>
      <c r="E218" s="11" t="str">
        <f t="shared" ca="1" si="131"/>
        <v/>
      </c>
      <c r="F218" s="13" t="str">
        <f t="shared" ca="1" si="132"/>
        <v/>
      </c>
      <c r="G218" s="14" t="str">
        <f t="shared" ca="1" si="133"/>
        <v/>
      </c>
      <c r="H218" s="15" t="str">
        <f t="shared" ca="1" si="134"/>
        <v/>
      </c>
      <c r="I218" s="19" t="str">
        <f t="shared" ca="1" si="135"/>
        <v/>
      </c>
      <c r="J218" s="20" t="str">
        <f t="shared" ca="1" si="136"/>
        <v/>
      </c>
      <c r="K218" s="17" t="str">
        <f t="shared" ca="1" si="37"/>
        <v>包6</v>
      </c>
    </row>
    <row r="219" spans="1:11" ht="18" customHeight="1" x14ac:dyDescent="0.15">
      <c r="A219" s="10">
        <f ca="1">COUNTIF(K$8:K219,K219)-1</f>
        <v>43</v>
      </c>
      <c r="B219" s="11" t="str">
        <f t="shared" ref="B219:B228" ca="1" si="137">IFERROR(VLOOKUP(A219,INDIRECT("'"&amp;K219&amp;"'!A:I"),3,FALSE),"")</f>
        <v/>
      </c>
      <c r="C219" s="11" t="str">
        <f t="shared" ref="C219:C228" ca="1" si="138">IFERROR(VLOOKUP(A219,INDIRECT("'"&amp;K219&amp;"'!A:I"),4,FALSE),"")</f>
        <v/>
      </c>
      <c r="D219" s="12" t="str">
        <f t="shared" ref="D219:D228" ca="1" si="139">IFERROR(VLOOKUP(A219,INDIRECT("'"&amp;K219&amp;"'!A:I"),5,FALSE),"")</f>
        <v/>
      </c>
      <c r="E219" s="11" t="str">
        <f t="shared" ref="E219:E228" ca="1" si="140">IF(B219="","",IF(VLOOKUP(A219,INDIRECT("'"&amp;K219&amp;"'!A:I"),6,FALSE)="","",IFERROR(VLOOKUP(A219,INDIRECT("'"&amp;K219&amp;"'!A:I"),6,FALSE),"")))</f>
        <v/>
      </c>
      <c r="F219" s="13" t="str">
        <f t="shared" ref="F219:F228" ca="1" si="141">IFERROR(VLOOKUP(A219,INDIRECT("'"&amp;K219&amp;"'!A:I"),7,FALSE),"")</f>
        <v/>
      </c>
      <c r="G219" s="14" t="str">
        <f t="shared" ref="G219:G228" ca="1" si="142">IFERROR(VLOOKUP(A219,INDIRECT("'"&amp;K219&amp;"'!A:I"),8,FALSE),"")</f>
        <v/>
      </c>
      <c r="H219" s="15" t="str">
        <f t="shared" ref="H219:H228" ca="1" si="143">IFERROR(VLOOKUP(A219,INDIRECT("'"&amp;K219&amp;"'!A:I"),9,FALSE),"")</f>
        <v/>
      </c>
      <c r="I219" s="19" t="str">
        <f t="shared" ref="I219:I228" ca="1" si="144">IFERROR(G219*H219,"")</f>
        <v/>
      </c>
      <c r="J219" s="20" t="str">
        <f t="shared" ref="J219:J228" ca="1" si="145">IF(B219="","",IF(VLOOKUP(A219,INDIRECT("'"&amp;K219&amp;"'!A:L"),11,FALSE)="","",IFERROR(VLOOKUP(A219,INDIRECT("'"&amp;K219&amp;"'!A:L"),11,FALSE),"")))</f>
        <v/>
      </c>
      <c r="K219" s="17" t="str">
        <f t="shared" ca="1" si="37"/>
        <v>包6</v>
      </c>
    </row>
    <row r="220" spans="1:11" ht="18" customHeight="1" x14ac:dyDescent="0.15">
      <c r="A220" s="10">
        <f ca="1">COUNTIF(K$8:K220,K220)-1</f>
        <v>44</v>
      </c>
      <c r="B220" s="11" t="str">
        <f t="shared" ca="1" si="137"/>
        <v/>
      </c>
      <c r="C220" s="11" t="str">
        <f t="shared" ca="1" si="138"/>
        <v/>
      </c>
      <c r="D220" s="12" t="str">
        <f t="shared" ca="1" si="139"/>
        <v/>
      </c>
      <c r="E220" s="11" t="str">
        <f t="shared" ca="1" si="140"/>
        <v/>
      </c>
      <c r="F220" s="13" t="str">
        <f t="shared" ca="1" si="141"/>
        <v/>
      </c>
      <c r="G220" s="14" t="str">
        <f t="shared" ca="1" si="142"/>
        <v/>
      </c>
      <c r="H220" s="15" t="str">
        <f t="shared" ca="1" si="143"/>
        <v/>
      </c>
      <c r="I220" s="19" t="str">
        <f t="shared" ca="1" si="144"/>
        <v/>
      </c>
      <c r="J220" s="20" t="str">
        <f t="shared" ca="1" si="145"/>
        <v/>
      </c>
      <c r="K220" s="17" t="str">
        <f t="shared" ca="1" si="37"/>
        <v>包6</v>
      </c>
    </row>
    <row r="221" spans="1:11" ht="18" customHeight="1" x14ac:dyDescent="0.15">
      <c r="A221" s="10">
        <f ca="1">COUNTIF(K$8:K221,K221)-1</f>
        <v>45</v>
      </c>
      <c r="B221" s="11" t="str">
        <f t="shared" ca="1" si="137"/>
        <v/>
      </c>
      <c r="C221" s="11" t="str">
        <f t="shared" ca="1" si="138"/>
        <v/>
      </c>
      <c r="D221" s="12" t="str">
        <f t="shared" ca="1" si="139"/>
        <v/>
      </c>
      <c r="E221" s="11" t="str">
        <f t="shared" ca="1" si="140"/>
        <v/>
      </c>
      <c r="F221" s="13" t="str">
        <f t="shared" ca="1" si="141"/>
        <v/>
      </c>
      <c r="G221" s="14" t="str">
        <f t="shared" ca="1" si="142"/>
        <v/>
      </c>
      <c r="H221" s="15" t="str">
        <f t="shared" ca="1" si="143"/>
        <v/>
      </c>
      <c r="I221" s="19" t="str">
        <f t="shared" ca="1" si="144"/>
        <v/>
      </c>
      <c r="J221" s="20" t="str">
        <f t="shared" ca="1" si="145"/>
        <v/>
      </c>
      <c r="K221" s="17" t="str">
        <f t="shared" ca="1" si="37"/>
        <v>包6</v>
      </c>
    </row>
    <row r="222" spans="1:11" ht="18" customHeight="1" x14ac:dyDescent="0.15">
      <c r="A222" s="10">
        <f ca="1">COUNTIF(K$8:K222,K222)-1</f>
        <v>46</v>
      </c>
      <c r="B222" s="11" t="str">
        <f t="shared" ca="1" si="137"/>
        <v/>
      </c>
      <c r="C222" s="11" t="str">
        <f t="shared" ca="1" si="138"/>
        <v/>
      </c>
      <c r="D222" s="12" t="str">
        <f t="shared" ca="1" si="139"/>
        <v/>
      </c>
      <c r="E222" s="11" t="str">
        <f t="shared" ca="1" si="140"/>
        <v/>
      </c>
      <c r="F222" s="13" t="str">
        <f t="shared" ca="1" si="141"/>
        <v/>
      </c>
      <c r="G222" s="14" t="str">
        <f t="shared" ca="1" si="142"/>
        <v/>
      </c>
      <c r="H222" s="15" t="str">
        <f t="shared" ca="1" si="143"/>
        <v/>
      </c>
      <c r="I222" s="19" t="str">
        <f t="shared" ca="1" si="144"/>
        <v/>
      </c>
      <c r="J222" s="20" t="str">
        <f t="shared" ca="1" si="145"/>
        <v/>
      </c>
      <c r="K222" s="17" t="str">
        <f t="shared" ca="1" si="37"/>
        <v>包6</v>
      </c>
    </row>
    <row r="223" spans="1:11" ht="18" customHeight="1" x14ac:dyDescent="0.15">
      <c r="A223" s="10">
        <f ca="1">COUNTIF(K$8:K223,K223)-1</f>
        <v>47</v>
      </c>
      <c r="B223" s="11" t="str">
        <f t="shared" ca="1" si="137"/>
        <v/>
      </c>
      <c r="C223" s="11" t="str">
        <f t="shared" ca="1" si="138"/>
        <v/>
      </c>
      <c r="D223" s="12" t="str">
        <f t="shared" ca="1" si="139"/>
        <v/>
      </c>
      <c r="E223" s="11" t="str">
        <f t="shared" ca="1" si="140"/>
        <v/>
      </c>
      <c r="F223" s="13" t="str">
        <f t="shared" ca="1" si="141"/>
        <v/>
      </c>
      <c r="G223" s="14" t="str">
        <f t="shared" ca="1" si="142"/>
        <v/>
      </c>
      <c r="H223" s="15" t="str">
        <f t="shared" ca="1" si="143"/>
        <v/>
      </c>
      <c r="I223" s="19" t="str">
        <f t="shared" ca="1" si="144"/>
        <v/>
      </c>
      <c r="J223" s="20" t="str">
        <f t="shared" ca="1" si="145"/>
        <v/>
      </c>
      <c r="K223" s="17" t="str">
        <f t="shared" ca="1" si="37"/>
        <v>包6</v>
      </c>
    </row>
    <row r="224" spans="1:11" ht="18" customHeight="1" x14ac:dyDescent="0.15">
      <c r="A224" s="10">
        <f ca="1">COUNTIF(K$8:K224,K224)-1</f>
        <v>48</v>
      </c>
      <c r="B224" s="11" t="str">
        <f t="shared" ca="1" si="137"/>
        <v/>
      </c>
      <c r="C224" s="11" t="str">
        <f t="shared" ca="1" si="138"/>
        <v/>
      </c>
      <c r="D224" s="12" t="str">
        <f t="shared" ca="1" si="139"/>
        <v/>
      </c>
      <c r="E224" s="11" t="str">
        <f t="shared" ca="1" si="140"/>
        <v/>
      </c>
      <c r="F224" s="13" t="str">
        <f t="shared" ca="1" si="141"/>
        <v/>
      </c>
      <c r="G224" s="14" t="str">
        <f t="shared" ca="1" si="142"/>
        <v/>
      </c>
      <c r="H224" s="15" t="str">
        <f t="shared" ca="1" si="143"/>
        <v/>
      </c>
      <c r="I224" s="19" t="str">
        <f t="shared" ca="1" si="144"/>
        <v/>
      </c>
      <c r="J224" s="20" t="str">
        <f t="shared" ca="1" si="145"/>
        <v/>
      </c>
      <c r="K224" s="17" t="str">
        <f t="shared" ca="1" si="37"/>
        <v>包6</v>
      </c>
    </row>
    <row r="225" spans="1:11" ht="18" customHeight="1" x14ac:dyDescent="0.15">
      <c r="A225" s="10">
        <f ca="1">COUNTIF(K$8:K225,K225)-1</f>
        <v>49</v>
      </c>
      <c r="B225" s="11" t="str">
        <f t="shared" ca="1" si="137"/>
        <v/>
      </c>
      <c r="C225" s="11" t="str">
        <f t="shared" ca="1" si="138"/>
        <v/>
      </c>
      <c r="D225" s="12" t="str">
        <f t="shared" ca="1" si="139"/>
        <v/>
      </c>
      <c r="E225" s="11" t="str">
        <f t="shared" ca="1" si="140"/>
        <v/>
      </c>
      <c r="F225" s="13" t="str">
        <f t="shared" ca="1" si="141"/>
        <v/>
      </c>
      <c r="G225" s="14" t="str">
        <f t="shared" ca="1" si="142"/>
        <v/>
      </c>
      <c r="H225" s="15" t="str">
        <f t="shared" ca="1" si="143"/>
        <v/>
      </c>
      <c r="I225" s="19" t="str">
        <f t="shared" ca="1" si="144"/>
        <v/>
      </c>
      <c r="J225" s="20" t="str">
        <f t="shared" ca="1" si="145"/>
        <v/>
      </c>
      <c r="K225" s="17" t="str">
        <f t="shared" ca="1" si="37"/>
        <v>包6</v>
      </c>
    </row>
    <row r="226" spans="1:11" ht="18" customHeight="1" x14ac:dyDescent="0.15">
      <c r="A226" s="10">
        <f ca="1">COUNTIF(K$8:K226,K226)-1</f>
        <v>50</v>
      </c>
      <c r="B226" s="11" t="str">
        <f t="shared" ca="1" si="137"/>
        <v/>
      </c>
      <c r="C226" s="11" t="str">
        <f t="shared" ca="1" si="138"/>
        <v/>
      </c>
      <c r="D226" s="12" t="str">
        <f t="shared" ca="1" si="139"/>
        <v/>
      </c>
      <c r="E226" s="11" t="str">
        <f t="shared" ca="1" si="140"/>
        <v/>
      </c>
      <c r="F226" s="13" t="str">
        <f t="shared" ca="1" si="141"/>
        <v/>
      </c>
      <c r="G226" s="14" t="str">
        <f t="shared" ca="1" si="142"/>
        <v/>
      </c>
      <c r="H226" s="15" t="str">
        <f t="shared" ca="1" si="143"/>
        <v/>
      </c>
      <c r="I226" s="19" t="str">
        <f t="shared" ca="1" si="144"/>
        <v/>
      </c>
      <c r="J226" s="20" t="str">
        <f t="shared" ca="1" si="145"/>
        <v/>
      </c>
      <c r="K226" s="17" t="str">
        <f t="shared" ca="1" si="37"/>
        <v>包6</v>
      </c>
    </row>
    <row r="227" spans="1:11" ht="18" customHeight="1" x14ac:dyDescent="0.15">
      <c r="A227" s="10">
        <f ca="1">COUNTIF(K$8:K227,K227)-1</f>
        <v>51</v>
      </c>
      <c r="B227" s="11" t="str">
        <f t="shared" ca="1" si="137"/>
        <v/>
      </c>
      <c r="C227" s="11" t="str">
        <f t="shared" ca="1" si="138"/>
        <v/>
      </c>
      <c r="D227" s="12" t="str">
        <f t="shared" ca="1" si="139"/>
        <v/>
      </c>
      <c r="E227" s="11" t="str">
        <f t="shared" ca="1" si="140"/>
        <v/>
      </c>
      <c r="F227" s="13" t="str">
        <f t="shared" ca="1" si="141"/>
        <v/>
      </c>
      <c r="G227" s="14" t="str">
        <f t="shared" ca="1" si="142"/>
        <v/>
      </c>
      <c r="H227" s="15" t="str">
        <f t="shared" ca="1" si="143"/>
        <v/>
      </c>
      <c r="I227" s="19" t="str">
        <f t="shared" ca="1" si="144"/>
        <v/>
      </c>
      <c r="J227" s="20" t="str">
        <f t="shared" ca="1" si="145"/>
        <v/>
      </c>
      <c r="K227" s="17" t="str">
        <f t="shared" ca="1" si="37"/>
        <v>包6</v>
      </c>
    </row>
    <row r="228" spans="1:11" ht="18" customHeight="1" x14ac:dyDescent="0.15">
      <c r="A228" s="10">
        <f ca="1">COUNTIF(K$8:K228,K228)-1</f>
        <v>52</v>
      </c>
      <c r="B228" s="11" t="str">
        <f t="shared" ca="1" si="137"/>
        <v/>
      </c>
      <c r="C228" s="11" t="str">
        <f t="shared" ca="1" si="138"/>
        <v/>
      </c>
      <c r="D228" s="12" t="str">
        <f t="shared" ca="1" si="139"/>
        <v/>
      </c>
      <c r="E228" s="11" t="str">
        <f t="shared" ca="1" si="140"/>
        <v/>
      </c>
      <c r="F228" s="13" t="str">
        <f t="shared" ca="1" si="141"/>
        <v/>
      </c>
      <c r="G228" s="14" t="str">
        <f t="shared" ca="1" si="142"/>
        <v/>
      </c>
      <c r="H228" s="15" t="str">
        <f t="shared" ca="1" si="143"/>
        <v/>
      </c>
      <c r="I228" s="19" t="str">
        <f t="shared" ca="1" si="144"/>
        <v/>
      </c>
      <c r="J228" s="20" t="str">
        <f t="shared" ca="1" si="145"/>
        <v/>
      </c>
      <c r="K228" s="17" t="str">
        <f t="shared" ca="1" si="37"/>
        <v>包6</v>
      </c>
    </row>
    <row r="229" spans="1:11" ht="11.1" customHeight="1" x14ac:dyDescent="0.15">
      <c r="A229" s="472"/>
      <c r="B229" s="473"/>
      <c r="C229" s="473"/>
      <c r="D229" s="473"/>
      <c r="E229" s="473"/>
      <c r="F229" s="473"/>
      <c r="G229" s="473"/>
      <c r="H229" s="473"/>
      <c r="I229" s="473"/>
      <c r="J229" s="474"/>
      <c r="K229" s="17" t="str">
        <f ca="1">INDIRECT("k"&amp;ROW()-1)</f>
        <v>包6</v>
      </c>
    </row>
    <row r="230" spans="1:11" ht="21" customHeight="1" x14ac:dyDescent="0.15">
      <c r="A230" s="475" t="str">
        <f ca="1">K230&amp;"合计："</f>
        <v>包6合计：</v>
      </c>
      <c r="B230" s="476"/>
      <c r="C230" s="476"/>
      <c r="D230" s="476"/>
      <c r="E230" s="477"/>
      <c r="F230" s="478" t="str">
        <f ca="1">SUM(G176:G229)&amp;"台"</f>
        <v>0台</v>
      </c>
      <c r="G230" s="479"/>
      <c r="H230" s="465">
        <f ca="1">SUM(I176:I229)</f>
        <v>0</v>
      </c>
      <c r="I230" s="465"/>
      <c r="J230" s="465"/>
      <c r="K230" s="17" t="str">
        <f ca="1">INDIRECT("k"&amp;ROW()-1)</f>
        <v>包6</v>
      </c>
    </row>
    <row r="231" spans="1:11" s="1" customFormat="1" ht="24" customHeight="1" x14ac:dyDescent="0.2">
      <c r="A231" s="471" t="s">
        <v>256</v>
      </c>
      <c r="B231" s="471"/>
      <c r="C231" s="8"/>
      <c r="D231" s="9"/>
      <c r="E231" s="8"/>
      <c r="F231" s="9"/>
      <c r="G231" s="9"/>
      <c r="K231" s="17" t="str">
        <f>IF(ISNUMBER(FIND("配电柜",A231)),LEFT(A231,LEN(A231)-3),A231)</f>
        <v>包7</v>
      </c>
    </row>
    <row r="232" spans="1:11" ht="18" customHeight="1" x14ac:dyDescent="0.15">
      <c r="A232" s="10">
        <f ca="1">COUNTIF(K$8:K232,K232)-1</f>
        <v>1</v>
      </c>
      <c r="B232" s="11" t="str">
        <f ca="1">IFERROR(VLOOKUP(A232,INDIRECT("'"&amp;K232&amp;"'!A:I"),3,FALSE),"")</f>
        <v/>
      </c>
      <c r="C232" s="11" t="str">
        <f ca="1">IFERROR(VLOOKUP(A232,INDIRECT("'"&amp;K232&amp;"'!A:I"),4,FALSE),"")</f>
        <v/>
      </c>
      <c r="D232" s="12" t="str">
        <f ca="1">IFERROR(VLOOKUP(A232,INDIRECT("'"&amp;K232&amp;"'!A:I"),5,FALSE),"")</f>
        <v/>
      </c>
      <c r="E232" s="11" t="str">
        <f ca="1">IF(B232="","",IF(VLOOKUP(A232,INDIRECT("'"&amp;K232&amp;"'!A:I"),6,FALSE)="","",IFERROR(VLOOKUP(A232,INDIRECT("'"&amp;K232&amp;"'!A:I"),6,FALSE),"")))</f>
        <v/>
      </c>
      <c r="F232" s="13" t="str">
        <f ca="1">IFERROR(VLOOKUP(A232,INDIRECT("'"&amp;K232&amp;"'!A:I"),7,FALSE),"")</f>
        <v/>
      </c>
      <c r="G232" s="14" t="str">
        <f ca="1">IFERROR(VLOOKUP(A232,INDIRECT("'"&amp;K232&amp;"'!A:I"),8,FALSE),"")</f>
        <v/>
      </c>
      <c r="H232" s="15" t="str">
        <f ca="1">IFERROR(VLOOKUP(A232,INDIRECT("'"&amp;K232&amp;"'!A:I"),9,FALSE),"")</f>
        <v/>
      </c>
      <c r="I232" s="19" t="str">
        <f ca="1">IFERROR(G232*H232,"")</f>
        <v/>
      </c>
      <c r="J232" s="20" t="str">
        <f ca="1">IF(B232="","",IF(VLOOKUP(A232,INDIRECT("'"&amp;K232&amp;"'!A:L"),11,FALSE)="","",IFERROR(VLOOKUP(A232,INDIRECT("'"&amp;K232&amp;"'!A:L"),11,FALSE),"")))</f>
        <v/>
      </c>
      <c r="K232" s="17" t="str">
        <f t="shared" ref="K232:K311" ca="1" si="146">INDIRECT("k"&amp;ROW()-1)</f>
        <v>包7</v>
      </c>
    </row>
    <row r="233" spans="1:11" ht="18" customHeight="1" x14ac:dyDescent="0.15">
      <c r="A233" s="10">
        <f ca="1">COUNTIF(K$8:K233,K233)-1</f>
        <v>2</v>
      </c>
      <c r="B233" s="11" t="str">
        <f ca="1">IFERROR(VLOOKUP(A233,INDIRECT("'"&amp;K233&amp;"'!A:I"),3,FALSE),"")</f>
        <v/>
      </c>
      <c r="C233" s="11" t="str">
        <f ca="1">IFERROR(VLOOKUP(A233,INDIRECT("'"&amp;K233&amp;"'!A:I"),4,FALSE),"")</f>
        <v/>
      </c>
      <c r="D233" s="12" t="str">
        <f ca="1">IFERROR(VLOOKUP(A233,INDIRECT("'"&amp;K233&amp;"'!A:I"),5,FALSE),"")</f>
        <v/>
      </c>
      <c r="E233" s="11" t="str">
        <f ca="1">IF(B233="","",IF(VLOOKUP(A233,INDIRECT("'"&amp;K233&amp;"'!A:I"),6,FALSE)="","",IFERROR(VLOOKUP(A233,INDIRECT("'"&amp;K233&amp;"'!A:I"),6,FALSE),"")))</f>
        <v/>
      </c>
      <c r="F233" s="13" t="str">
        <f ca="1">IFERROR(VLOOKUP(A233,INDIRECT("'"&amp;K233&amp;"'!A:I"),7,FALSE),"")</f>
        <v/>
      </c>
      <c r="G233" s="14" t="str">
        <f ca="1">IFERROR(VLOOKUP(A233,INDIRECT("'"&amp;K233&amp;"'!A:I"),8,FALSE),"")</f>
        <v/>
      </c>
      <c r="H233" s="15" t="str">
        <f ca="1">IFERROR(VLOOKUP(A233,INDIRECT("'"&amp;K233&amp;"'!A:I"),9,FALSE),"")</f>
        <v/>
      </c>
      <c r="I233" s="19" t="str">
        <f ca="1">IFERROR(G233*H233,"")</f>
        <v/>
      </c>
      <c r="J233" s="20" t="str">
        <f ca="1">IF(B233="","",IF(VLOOKUP(A233,INDIRECT("'"&amp;K233&amp;"'!A:L"),11,FALSE)="","",IFERROR(VLOOKUP(A233,INDIRECT("'"&amp;K233&amp;"'!A:L"),11,FALSE),"")))</f>
        <v/>
      </c>
      <c r="K233" s="17" t="str">
        <f t="shared" ca="1" si="146"/>
        <v>包7</v>
      </c>
    </row>
    <row r="234" spans="1:11" ht="18" customHeight="1" x14ac:dyDescent="0.15">
      <c r="A234" s="10">
        <f ca="1">COUNTIF(K$8:K234,K234)-1</f>
        <v>3</v>
      </c>
      <c r="B234" s="11" t="str">
        <f ca="1">IFERROR(VLOOKUP(A234,INDIRECT("'"&amp;K234&amp;"'!A:I"),3,FALSE),"")</f>
        <v/>
      </c>
      <c r="C234" s="11" t="str">
        <f ca="1">IFERROR(VLOOKUP(A234,INDIRECT("'"&amp;K234&amp;"'!A:I"),4,FALSE),"")</f>
        <v/>
      </c>
      <c r="D234" s="12" t="str">
        <f ca="1">IFERROR(VLOOKUP(A234,INDIRECT("'"&amp;K234&amp;"'!A:I"),5,FALSE),"")</f>
        <v/>
      </c>
      <c r="E234" s="11" t="str">
        <f ca="1">IF(B234="","",IF(VLOOKUP(A234,INDIRECT("'"&amp;K234&amp;"'!A:I"),6,FALSE)="","",IFERROR(VLOOKUP(A234,INDIRECT("'"&amp;K234&amp;"'!A:I"),6,FALSE),"")))</f>
        <v/>
      </c>
      <c r="F234" s="13" t="str">
        <f ca="1">IFERROR(VLOOKUP(A234,INDIRECT("'"&amp;K234&amp;"'!A:I"),7,FALSE),"")</f>
        <v/>
      </c>
      <c r="G234" s="14" t="str">
        <f ca="1">IFERROR(VLOOKUP(A234,INDIRECT("'"&amp;K234&amp;"'!A:I"),8,FALSE),"")</f>
        <v/>
      </c>
      <c r="H234" s="15" t="str">
        <f ca="1">IFERROR(VLOOKUP(A234,INDIRECT("'"&amp;K234&amp;"'!A:I"),9,FALSE),"")</f>
        <v/>
      </c>
      <c r="I234" s="19" t="str">
        <f ca="1">IFERROR(G234*H234,"")</f>
        <v/>
      </c>
      <c r="J234" s="20" t="str">
        <f ca="1">IF(B234="","",IF(VLOOKUP(A234,INDIRECT("'"&amp;K234&amp;"'!A:L"),11,FALSE)="","",IFERROR(VLOOKUP(A234,INDIRECT("'"&amp;K234&amp;"'!A:L"),11,FALSE),"")))</f>
        <v/>
      </c>
      <c r="K234" s="17" t="str">
        <f t="shared" ca="1" si="146"/>
        <v>包7</v>
      </c>
    </row>
    <row r="235" spans="1:11" ht="18" customHeight="1" x14ac:dyDescent="0.15">
      <c r="A235" s="10">
        <f ca="1">COUNTIF(K$8:K235,K235)-1</f>
        <v>4</v>
      </c>
      <c r="B235" s="11" t="str">
        <f ca="1">IFERROR(VLOOKUP(A235,INDIRECT("'"&amp;K235&amp;"'!A:I"),3,FALSE),"")</f>
        <v/>
      </c>
      <c r="C235" s="11" t="str">
        <f ca="1">IFERROR(VLOOKUP(A235,INDIRECT("'"&amp;K235&amp;"'!A:I"),4,FALSE),"")</f>
        <v/>
      </c>
      <c r="D235" s="12" t="str">
        <f ca="1">IFERROR(VLOOKUP(A235,INDIRECT("'"&amp;K235&amp;"'!A:I"),5,FALSE),"")</f>
        <v/>
      </c>
      <c r="E235" s="11" t="str">
        <f ca="1">IF(B235="","",IF(VLOOKUP(A235,INDIRECT("'"&amp;K235&amp;"'!A:I"),6,FALSE)="","",IFERROR(VLOOKUP(A235,INDIRECT("'"&amp;K235&amp;"'!A:I"),6,FALSE),"")))</f>
        <v/>
      </c>
      <c r="F235" s="13" t="str">
        <f ca="1">IFERROR(VLOOKUP(A235,INDIRECT("'"&amp;K235&amp;"'!A:I"),7,FALSE),"")</f>
        <v/>
      </c>
      <c r="G235" s="14" t="str">
        <f ca="1">IFERROR(VLOOKUP(A235,INDIRECT("'"&amp;K235&amp;"'!A:I"),8,FALSE),"")</f>
        <v/>
      </c>
      <c r="H235" s="15" t="str">
        <f ca="1">IFERROR(VLOOKUP(A235,INDIRECT("'"&amp;K235&amp;"'!A:I"),9,FALSE),"")</f>
        <v/>
      </c>
      <c r="I235" s="19" t="str">
        <f ca="1">IFERROR(G235*H235,"")</f>
        <v/>
      </c>
      <c r="J235" s="20" t="str">
        <f ca="1">IF(B235="","",IF(VLOOKUP(A235,INDIRECT("'"&amp;K235&amp;"'!A:L"),11,FALSE)="","",IFERROR(VLOOKUP(A235,INDIRECT("'"&amp;K235&amp;"'!A:L"),11,FALSE),"")))</f>
        <v/>
      </c>
      <c r="K235" s="17" t="str">
        <f t="shared" ca="1" si="146"/>
        <v>包7</v>
      </c>
    </row>
    <row r="236" spans="1:11" ht="18" customHeight="1" x14ac:dyDescent="0.15">
      <c r="A236" s="10">
        <f ca="1">COUNTIF(K$8:K236,K236)-1</f>
        <v>5</v>
      </c>
      <c r="B236" s="11" t="str">
        <f ca="1">IFERROR(VLOOKUP(A236,INDIRECT("'"&amp;K236&amp;"'!A:I"),3,FALSE),"")</f>
        <v/>
      </c>
      <c r="C236" s="11" t="str">
        <f ca="1">IFERROR(VLOOKUP(A236,INDIRECT("'"&amp;K236&amp;"'!A:I"),4,FALSE),"")</f>
        <v/>
      </c>
      <c r="D236" s="12" t="str">
        <f ca="1">IFERROR(VLOOKUP(A236,INDIRECT("'"&amp;K236&amp;"'!A:I"),5,FALSE),"")</f>
        <v/>
      </c>
      <c r="E236" s="11" t="str">
        <f ca="1">IF(B236="","",IF(VLOOKUP(A236,INDIRECT("'"&amp;K236&amp;"'!A:I"),6,FALSE)="","",IFERROR(VLOOKUP(A236,INDIRECT("'"&amp;K236&amp;"'!A:I"),6,FALSE),"")))</f>
        <v/>
      </c>
      <c r="F236" s="13" t="str">
        <f ca="1">IFERROR(VLOOKUP(A236,INDIRECT("'"&amp;K236&amp;"'!A:I"),7,FALSE),"")</f>
        <v/>
      </c>
      <c r="G236" s="14" t="str">
        <f ca="1">IFERROR(VLOOKUP(A236,INDIRECT("'"&amp;K236&amp;"'!A:I"),8,FALSE),"")</f>
        <v/>
      </c>
      <c r="H236" s="15" t="str">
        <f ca="1">IFERROR(VLOOKUP(A236,INDIRECT("'"&amp;K236&amp;"'!A:I"),9,FALSE),"")</f>
        <v/>
      </c>
      <c r="I236" s="19" t="str">
        <f ca="1">IFERROR(G236*H236,"")</f>
        <v/>
      </c>
      <c r="J236" s="20" t="str">
        <f ca="1">IF(B236="","",IF(VLOOKUP(A236,INDIRECT("'"&amp;K236&amp;"'!A:L"),11,FALSE)="","",IFERROR(VLOOKUP(A236,INDIRECT("'"&amp;K236&amp;"'!A:L"),11,FALSE),"")))</f>
        <v/>
      </c>
      <c r="K236" s="17" t="str">
        <f t="shared" ca="1" si="146"/>
        <v>包7</v>
      </c>
    </row>
    <row r="237" spans="1:11" ht="18" customHeight="1" x14ac:dyDescent="0.15">
      <c r="A237" s="10">
        <f ca="1">COUNTIF(K$8:K237,K237)-1</f>
        <v>6</v>
      </c>
      <c r="B237" s="11" t="str">
        <f t="shared" ref="B237:B246" ca="1" si="147">IFERROR(VLOOKUP(A237,INDIRECT("'"&amp;K237&amp;"'!A:I"),3,FALSE),"")</f>
        <v/>
      </c>
      <c r="C237" s="11" t="str">
        <f t="shared" ref="C237:C246" ca="1" si="148">IFERROR(VLOOKUP(A237,INDIRECT("'"&amp;K237&amp;"'!A:I"),4,FALSE),"")</f>
        <v/>
      </c>
      <c r="D237" s="12" t="str">
        <f t="shared" ref="D237:D246" ca="1" si="149">IFERROR(VLOOKUP(A237,INDIRECT("'"&amp;K237&amp;"'!A:I"),5,FALSE),"")</f>
        <v/>
      </c>
      <c r="E237" s="11" t="str">
        <f t="shared" ref="E237:E246" ca="1" si="150">IF(B237="","",IF(VLOOKUP(A237,INDIRECT("'"&amp;K237&amp;"'!A:I"),6,FALSE)="","",IFERROR(VLOOKUP(A237,INDIRECT("'"&amp;K237&amp;"'!A:I"),6,FALSE),"")))</f>
        <v/>
      </c>
      <c r="F237" s="13" t="str">
        <f t="shared" ref="F237:F246" ca="1" si="151">IFERROR(VLOOKUP(A237,INDIRECT("'"&amp;K237&amp;"'!A:I"),7,FALSE),"")</f>
        <v/>
      </c>
      <c r="G237" s="14" t="str">
        <f t="shared" ref="G237:G246" ca="1" si="152">IFERROR(VLOOKUP(A237,INDIRECT("'"&amp;K237&amp;"'!A:I"),8,FALSE),"")</f>
        <v/>
      </c>
      <c r="H237" s="15" t="str">
        <f t="shared" ref="H237:H246" ca="1" si="153">IFERROR(VLOOKUP(A237,INDIRECT("'"&amp;K237&amp;"'!A:I"),9,FALSE),"")</f>
        <v/>
      </c>
      <c r="I237" s="19" t="str">
        <f t="shared" ref="I237:I246" ca="1" si="154">IFERROR(G237*H237,"")</f>
        <v/>
      </c>
      <c r="J237" s="20" t="str">
        <f t="shared" ref="J237:J246" ca="1" si="155">IF(B237="","",IF(VLOOKUP(A237,INDIRECT("'"&amp;K237&amp;"'!A:L"),11,FALSE)="","",IFERROR(VLOOKUP(A237,INDIRECT("'"&amp;K237&amp;"'!A:L"),11,FALSE),"")))</f>
        <v/>
      </c>
      <c r="K237" s="17" t="str">
        <f t="shared" ca="1" si="146"/>
        <v>包7</v>
      </c>
    </row>
    <row r="238" spans="1:11" ht="18" customHeight="1" x14ac:dyDescent="0.15">
      <c r="A238" s="10">
        <f ca="1">COUNTIF(K$8:K238,K238)-1</f>
        <v>7</v>
      </c>
      <c r="B238" s="11" t="str">
        <f t="shared" ca="1" si="147"/>
        <v/>
      </c>
      <c r="C238" s="11" t="str">
        <f t="shared" ca="1" si="148"/>
        <v/>
      </c>
      <c r="D238" s="12" t="str">
        <f t="shared" ca="1" si="149"/>
        <v/>
      </c>
      <c r="E238" s="11" t="str">
        <f t="shared" ca="1" si="150"/>
        <v/>
      </c>
      <c r="F238" s="13" t="str">
        <f t="shared" ca="1" si="151"/>
        <v/>
      </c>
      <c r="G238" s="14" t="str">
        <f t="shared" ca="1" si="152"/>
        <v/>
      </c>
      <c r="H238" s="15" t="str">
        <f t="shared" ca="1" si="153"/>
        <v/>
      </c>
      <c r="I238" s="19" t="str">
        <f t="shared" ca="1" si="154"/>
        <v/>
      </c>
      <c r="J238" s="20" t="str">
        <f t="shared" ca="1" si="155"/>
        <v/>
      </c>
      <c r="K238" s="17" t="str">
        <f t="shared" ca="1" si="146"/>
        <v>包7</v>
      </c>
    </row>
    <row r="239" spans="1:11" ht="18" customHeight="1" x14ac:dyDescent="0.15">
      <c r="A239" s="10">
        <f ca="1">COUNTIF(K$8:K239,K239)-1</f>
        <v>8</v>
      </c>
      <c r="B239" s="11" t="str">
        <f t="shared" ca="1" si="147"/>
        <v/>
      </c>
      <c r="C239" s="11" t="str">
        <f t="shared" ca="1" si="148"/>
        <v/>
      </c>
      <c r="D239" s="12" t="str">
        <f t="shared" ca="1" si="149"/>
        <v/>
      </c>
      <c r="E239" s="11" t="str">
        <f t="shared" ca="1" si="150"/>
        <v/>
      </c>
      <c r="F239" s="13" t="str">
        <f t="shared" ca="1" si="151"/>
        <v/>
      </c>
      <c r="G239" s="14" t="str">
        <f t="shared" ca="1" si="152"/>
        <v/>
      </c>
      <c r="H239" s="15" t="str">
        <f t="shared" ca="1" si="153"/>
        <v/>
      </c>
      <c r="I239" s="19" t="str">
        <f t="shared" ca="1" si="154"/>
        <v/>
      </c>
      <c r="J239" s="20" t="str">
        <f t="shared" ca="1" si="155"/>
        <v/>
      </c>
      <c r="K239" s="17" t="str">
        <f t="shared" ca="1" si="146"/>
        <v>包7</v>
      </c>
    </row>
    <row r="240" spans="1:11" ht="18" customHeight="1" x14ac:dyDescent="0.15">
      <c r="A240" s="10">
        <f ca="1">COUNTIF(K$8:K240,K240)-1</f>
        <v>9</v>
      </c>
      <c r="B240" s="11" t="str">
        <f t="shared" ca="1" si="147"/>
        <v/>
      </c>
      <c r="C240" s="11" t="str">
        <f t="shared" ca="1" si="148"/>
        <v/>
      </c>
      <c r="D240" s="12" t="str">
        <f t="shared" ca="1" si="149"/>
        <v/>
      </c>
      <c r="E240" s="11" t="str">
        <f t="shared" ca="1" si="150"/>
        <v/>
      </c>
      <c r="F240" s="13" t="str">
        <f t="shared" ca="1" si="151"/>
        <v/>
      </c>
      <c r="G240" s="14" t="str">
        <f t="shared" ca="1" si="152"/>
        <v/>
      </c>
      <c r="H240" s="15" t="str">
        <f t="shared" ca="1" si="153"/>
        <v/>
      </c>
      <c r="I240" s="19" t="str">
        <f t="shared" ca="1" si="154"/>
        <v/>
      </c>
      <c r="J240" s="20" t="str">
        <f t="shared" ca="1" si="155"/>
        <v/>
      </c>
      <c r="K240" s="17" t="str">
        <f t="shared" ca="1" si="146"/>
        <v>包7</v>
      </c>
    </row>
    <row r="241" spans="1:11" ht="18" customHeight="1" x14ac:dyDescent="0.15">
      <c r="A241" s="10">
        <f ca="1">COUNTIF(K$8:K241,K241)-1</f>
        <v>10</v>
      </c>
      <c r="B241" s="11" t="str">
        <f t="shared" ca="1" si="147"/>
        <v/>
      </c>
      <c r="C241" s="11" t="str">
        <f t="shared" ca="1" si="148"/>
        <v/>
      </c>
      <c r="D241" s="12" t="str">
        <f t="shared" ca="1" si="149"/>
        <v/>
      </c>
      <c r="E241" s="11" t="str">
        <f t="shared" ca="1" si="150"/>
        <v/>
      </c>
      <c r="F241" s="13" t="str">
        <f t="shared" ca="1" si="151"/>
        <v/>
      </c>
      <c r="G241" s="14" t="str">
        <f t="shared" ca="1" si="152"/>
        <v/>
      </c>
      <c r="H241" s="15" t="str">
        <f t="shared" ca="1" si="153"/>
        <v/>
      </c>
      <c r="I241" s="19" t="str">
        <f t="shared" ca="1" si="154"/>
        <v/>
      </c>
      <c r="J241" s="20" t="str">
        <f t="shared" ca="1" si="155"/>
        <v/>
      </c>
      <c r="K241" s="17" t="str">
        <f t="shared" ca="1" si="146"/>
        <v>包7</v>
      </c>
    </row>
    <row r="242" spans="1:11" ht="18" customHeight="1" x14ac:dyDescent="0.15">
      <c r="A242" s="10">
        <f ca="1">COUNTIF(K$8:K242,K242)-1</f>
        <v>11</v>
      </c>
      <c r="B242" s="11" t="str">
        <f t="shared" ca="1" si="147"/>
        <v/>
      </c>
      <c r="C242" s="11" t="str">
        <f t="shared" ca="1" si="148"/>
        <v/>
      </c>
      <c r="D242" s="12" t="str">
        <f t="shared" ca="1" si="149"/>
        <v/>
      </c>
      <c r="E242" s="11" t="str">
        <f t="shared" ca="1" si="150"/>
        <v/>
      </c>
      <c r="F242" s="13" t="str">
        <f t="shared" ca="1" si="151"/>
        <v/>
      </c>
      <c r="G242" s="14" t="str">
        <f t="shared" ca="1" si="152"/>
        <v/>
      </c>
      <c r="H242" s="15" t="str">
        <f t="shared" ca="1" si="153"/>
        <v/>
      </c>
      <c r="I242" s="19" t="str">
        <f t="shared" ca="1" si="154"/>
        <v/>
      </c>
      <c r="J242" s="20" t="str">
        <f t="shared" ca="1" si="155"/>
        <v/>
      </c>
      <c r="K242" s="17" t="str">
        <f t="shared" ca="1" si="146"/>
        <v>包7</v>
      </c>
    </row>
    <row r="243" spans="1:11" ht="18" customHeight="1" x14ac:dyDescent="0.15">
      <c r="A243" s="10">
        <f ca="1">COUNTIF(K$8:K243,K243)-1</f>
        <v>12</v>
      </c>
      <c r="B243" s="11" t="str">
        <f t="shared" ca="1" si="147"/>
        <v/>
      </c>
      <c r="C243" s="11" t="str">
        <f t="shared" ca="1" si="148"/>
        <v/>
      </c>
      <c r="D243" s="12" t="str">
        <f t="shared" ca="1" si="149"/>
        <v/>
      </c>
      <c r="E243" s="11" t="str">
        <f t="shared" ca="1" si="150"/>
        <v/>
      </c>
      <c r="F243" s="13" t="str">
        <f t="shared" ca="1" si="151"/>
        <v/>
      </c>
      <c r="G243" s="14" t="str">
        <f t="shared" ca="1" si="152"/>
        <v/>
      </c>
      <c r="H243" s="15" t="str">
        <f t="shared" ca="1" si="153"/>
        <v/>
      </c>
      <c r="I243" s="19" t="str">
        <f t="shared" ca="1" si="154"/>
        <v/>
      </c>
      <c r="J243" s="20" t="str">
        <f t="shared" ca="1" si="155"/>
        <v/>
      </c>
      <c r="K243" s="17" t="str">
        <f t="shared" ca="1" si="146"/>
        <v>包7</v>
      </c>
    </row>
    <row r="244" spans="1:11" ht="18" customHeight="1" x14ac:dyDescent="0.15">
      <c r="A244" s="10">
        <f ca="1">COUNTIF(K$8:K244,K244)-1</f>
        <v>13</v>
      </c>
      <c r="B244" s="11" t="str">
        <f t="shared" ca="1" si="147"/>
        <v/>
      </c>
      <c r="C244" s="11" t="str">
        <f t="shared" ca="1" si="148"/>
        <v/>
      </c>
      <c r="D244" s="12" t="str">
        <f t="shared" ca="1" si="149"/>
        <v/>
      </c>
      <c r="E244" s="11" t="str">
        <f t="shared" ca="1" si="150"/>
        <v/>
      </c>
      <c r="F244" s="13" t="str">
        <f t="shared" ca="1" si="151"/>
        <v/>
      </c>
      <c r="G244" s="14" t="str">
        <f t="shared" ca="1" si="152"/>
        <v/>
      </c>
      <c r="H244" s="15" t="str">
        <f t="shared" ca="1" si="153"/>
        <v/>
      </c>
      <c r="I244" s="19" t="str">
        <f t="shared" ca="1" si="154"/>
        <v/>
      </c>
      <c r="J244" s="20" t="str">
        <f t="shared" ca="1" si="155"/>
        <v/>
      </c>
      <c r="K244" s="17" t="str">
        <f t="shared" ca="1" si="146"/>
        <v>包7</v>
      </c>
    </row>
    <row r="245" spans="1:11" ht="18" customHeight="1" x14ac:dyDescent="0.15">
      <c r="A245" s="10">
        <f ca="1">COUNTIF(K$8:K245,K245)-1</f>
        <v>14</v>
      </c>
      <c r="B245" s="11" t="str">
        <f t="shared" ca="1" si="147"/>
        <v/>
      </c>
      <c r="C245" s="11" t="str">
        <f t="shared" ca="1" si="148"/>
        <v/>
      </c>
      <c r="D245" s="12" t="str">
        <f t="shared" ca="1" si="149"/>
        <v/>
      </c>
      <c r="E245" s="11" t="str">
        <f t="shared" ca="1" si="150"/>
        <v/>
      </c>
      <c r="F245" s="13" t="str">
        <f t="shared" ca="1" si="151"/>
        <v/>
      </c>
      <c r="G245" s="14" t="str">
        <f t="shared" ca="1" si="152"/>
        <v/>
      </c>
      <c r="H245" s="15" t="str">
        <f t="shared" ca="1" si="153"/>
        <v/>
      </c>
      <c r="I245" s="19" t="str">
        <f t="shared" ca="1" si="154"/>
        <v/>
      </c>
      <c r="J245" s="20" t="str">
        <f t="shared" ca="1" si="155"/>
        <v/>
      </c>
      <c r="K245" s="17" t="str">
        <f t="shared" ca="1" si="146"/>
        <v>包7</v>
      </c>
    </row>
    <row r="246" spans="1:11" ht="18" customHeight="1" x14ac:dyDescent="0.15">
      <c r="A246" s="10">
        <f ca="1">COUNTIF(K$8:K246,K246)-1</f>
        <v>15</v>
      </c>
      <c r="B246" s="11" t="str">
        <f t="shared" ca="1" si="147"/>
        <v/>
      </c>
      <c r="C246" s="11" t="str">
        <f t="shared" ca="1" si="148"/>
        <v/>
      </c>
      <c r="D246" s="12" t="str">
        <f t="shared" ca="1" si="149"/>
        <v/>
      </c>
      <c r="E246" s="11" t="str">
        <f t="shared" ca="1" si="150"/>
        <v/>
      </c>
      <c r="F246" s="13" t="str">
        <f t="shared" ca="1" si="151"/>
        <v/>
      </c>
      <c r="G246" s="14" t="str">
        <f t="shared" ca="1" si="152"/>
        <v/>
      </c>
      <c r="H246" s="15" t="str">
        <f t="shared" ca="1" si="153"/>
        <v/>
      </c>
      <c r="I246" s="19" t="str">
        <f t="shared" ca="1" si="154"/>
        <v/>
      </c>
      <c r="J246" s="20" t="str">
        <f t="shared" ca="1" si="155"/>
        <v/>
      </c>
      <c r="K246" s="17" t="str">
        <f t="shared" ca="1" si="146"/>
        <v>包7</v>
      </c>
    </row>
    <row r="247" spans="1:11" ht="11.1" customHeight="1" x14ac:dyDescent="0.15">
      <c r="A247" s="472"/>
      <c r="B247" s="473"/>
      <c r="C247" s="473"/>
      <c r="D247" s="473"/>
      <c r="E247" s="473"/>
      <c r="F247" s="473"/>
      <c r="G247" s="473"/>
      <c r="H247" s="473"/>
      <c r="I247" s="473"/>
      <c r="J247" s="474"/>
      <c r="K247" s="17" t="str">
        <f t="shared" ca="1" si="146"/>
        <v>包7</v>
      </c>
    </row>
    <row r="248" spans="1:11" ht="21" customHeight="1" x14ac:dyDescent="0.15">
      <c r="A248" s="475" t="str">
        <f ca="1">K248&amp;"合计："</f>
        <v>包7合计：</v>
      </c>
      <c r="B248" s="476"/>
      <c r="C248" s="476"/>
      <c r="D248" s="476"/>
      <c r="E248" s="477"/>
      <c r="F248" s="478" t="str">
        <f ca="1">SUM(G231:G247)&amp;"台"</f>
        <v>0台</v>
      </c>
      <c r="G248" s="479"/>
      <c r="H248" s="465">
        <f ca="1">SUM(I231:I247)</f>
        <v>0</v>
      </c>
      <c r="I248" s="465"/>
      <c r="J248" s="465"/>
      <c r="K248" s="17" t="str">
        <f t="shared" ca="1" si="146"/>
        <v>包7</v>
      </c>
    </row>
    <row r="249" spans="1:11" s="1" customFormat="1" ht="24" customHeight="1" x14ac:dyDescent="0.2">
      <c r="A249" s="471" t="s">
        <v>257</v>
      </c>
      <c r="B249" s="471"/>
      <c r="C249" s="8"/>
      <c r="D249" s="9"/>
      <c r="E249" s="8"/>
      <c r="F249" s="9"/>
      <c r="G249" s="9"/>
      <c r="K249" s="17" t="str">
        <f>IF(ISNUMBER(FIND("配电柜",A249)),LEFT(A249,LEN(A249)-3),A249)</f>
        <v>包8</v>
      </c>
    </row>
    <row r="250" spans="1:11" ht="18" customHeight="1" x14ac:dyDescent="0.15">
      <c r="A250" s="10">
        <f ca="1">COUNTIF(K$8:K250,K250)-1</f>
        <v>1</v>
      </c>
      <c r="B250" s="11" t="str">
        <f ca="1">IFERROR(VLOOKUP(A250,INDIRECT("'"&amp;K250&amp;"'!A:I"),3,FALSE),"")</f>
        <v/>
      </c>
      <c r="C250" s="11" t="str">
        <f ca="1">IFERROR(VLOOKUP(A250,INDIRECT("'"&amp;K250&amp;"'!A:I"),4,FALSE),"")</f>
        <v/>
      </c>
      <c r="D250" s="12" t="str">
        <f ca="1">IFERROR(VLOOKUP(A250,INDIRECT("'"&amp;K250&amp;"'!A:I"),5,FALSE),"")</f>
        <v/>
      </c>
      <c r="E250" s="11" t="str">
        <f ca="1">IF(B250="","",IF(VLOOKUP(A250,INDIRECT("'"&amp;K250&amp;"'!A:I"),6,FALSE)="","",IFERROR(VLOOKUP(A250,INDIRECT("'"&amp;K250&amp;"'!A:I"),6,FALSE),"")))</f>
        <v/>
      </c>
      <c r="F250" s="13" t="str">
        <f ca="1">IFERROR(VLOOKUP(A250,INDIRECT("'"&amp;K250&amp;"'!A:I"),7,FALSE),"")</f>
        <v/>
      </c>
      <c r="G250" s="14" t="str">
        <f ca="1">IFERROR(VLOOKUP(A250,INDIRECT("'"&amp;K250&amp;"'!A:I"),8,FALSE),"")</f>
        <v/>
      </c>
      <c r="H250" s="15" t="str">
        <f ca="1">IFERROR(VLOOKUP(A250,INDIRECT("'"&amp;K250&amp;"'!A:I"),9,FALSE),"")</f>
        <v/>
      </c>
      <c r="I250" s="19" t="str">
        <f ca="1">IFERROR(G250*H250,"")</f>
        <v/>
      </c>
      <c r="J250" s="20" t="str">
        <f ca="1">IF(B250="","",IF(VLOOKUP(A250,INDIRECT("'"&amp;K250&amp;"'!A:L"),11,FALSE)="","",IFERROR(VLOOKUP(A250,INDIRECT("'"&amp;K250&amp;"'!A:L"),11,FALSE),"")))</f>
        <v/>
      </c>
      <c r="K250" s="17" t="str">
        <f t="shared" ca="1" si="146"/>
        <v>包8</v>
      </c>
    </row>
    <row r="251" spans="1:11" ht="18" customHeight="1" x14ac:dyDescent="0.15">
      <c r="A251" s="10">
        <f ca="1">COUNTIF(K$8:K251,K251)-1</f>
        <v>2</v>
      </c>
      <c r="B251" s="11" t="str">
        <f ca="1">IFERROR(VLOOKUP(A251,INDIRECT("'"&amp;K251&amp;"'!A:I"),3,FALSE),"")</f>
        <v/>
      </c>
      <c r="C251" s="11" t="str">
        <f ca="1">IFERROR(VLOOKUP(A251,INDIRECT("'"&amp;K251&amp;"'!A:I"),4,FALSE),"")</f>
        <v/>
      </c>
      <c r="D251" s="12" t="str">
        <f ca="1">IFERROR(VLOOKUP(A251,INDIRECT("'"&amp;K251&amp;"'!A:I"),5,FALSE),"")</f>
        <v/>
      </c>
      <c r="E251" s="11" t="str">
        <f ca="1">IF(B251="","",IF(VLOOKUP(A251,INDIRECT("'"&amp;K251&amp;"'!A:I"),6,FALSE)="","",IFERROR(VLOOKUP(A251,INDIRECT("'"&amp;K251&amp;"'!A:I"),6,FALSE),"")))</f>
        <v/>
      </c>
      <c r="F251" s="13" t="str">
        <f ca="1">IFERROR(VLOOKUP(A251,INDIRECT("'"&amp;K251&amp;"'!A:I"),7,FALSE),"")</f>
        <v/>
      </c>
      <c r="G251" s="14" t="str">
        <f ca="1">IFERROR(VLOOKUP(A251,INDIRECT("'"&amp;K251&amp;"'!A:I"),8,FALSE),"")</f>
        <v/>
      </c>
      <c r="H251" s="15" t="str">
        <f ca="1">IFERROR(VLOOKUP(A251,INDIRECT("'"&amp;K251&amp;"'!A:I"),9,FALSE),"")</f>
        <v/>
      </c>
      <c r="I251" s="19" t="str">
        <f ca="1">IFERROR(G251*H251,"")</f>
        <v/>
      </c>
      <c r="J251" s="20" t="str">
        <f ca="1">IF(B251="","",IF(VLOOKUP(A251,INDIRECT("'"&amp;K251&amp;"'!A:L"),11,FALSE)="","",IFERROR(VLOOKUP(A251,INDIRECT("'"&amp;K251&amp;"'!A:L"),11,FALSE),"")))</f>
        <v/>
      </c>
      <c r="K251" s="17" t="str">
        <f t="shared" ca="1" si="146"/>
        <v>包8</v>
      </c>
    </row>
    <row r="252" spans="1:11" ht="18" customHeight="1" x14ac:dyDescent="0.15">
      <c r="A252" s="10">
        <f ca="1">COUNTIF(K$8:K252,K252)-1</f>
        <v>3</v>
      </c>
      <c r="B252" s="11" t="str">
        <f ca="1">IFERROR(VLOOKUP(A252,INDIRECT("'"&amp;K252&amp;"'!A:I"),3,FALSE),"")</f>
        <v/>
      </c>
      <c r="C252" s="11" t="str">
        <f ca="1">IFERROR(VLOOKUP(A252,INDIRECT("'"&amp;K252&amp;"'!A:I"),4,FALSE),"")</f>
        <v/>
      </c>
      <c r="D252" s="12" t="str">
        <f ca="1">IFERROR(VLOOKUP(A252,INDIRECT("'"&amp;K252&amp;"'!A:I"),5,FALSE),"")</f>
        <v/>
      </c>
      <c r="E252" s="11" t="str">
        <f ca="1">IF(B252="","",IF(VLOOKUP(A252,INDIRECT("'"&amp;K252&amp;"'!A:I"),6,FALSE)="","",IFERROR(VLOOKUP(A252,INDIRECT("'"&amp;K252&amp;"'!A:I"),6,FALSE),"")))</f>
        <v/>
      </c>
      <c r="F252" s="13" t="str">
        <f ca="1">IFERROR(VLOOKUP(A252,INDIRECT("'"&amp;K252&amp;"'!A:I"),7,FALSE),"")</f>
        <v/>
      </c>
      <c r="G252" s="14" t="str">
        <f ca="1">IFERROR(VLOOKUP(A252,INDIRECT("'"&amp;K252&amp;"'!A:I"),8,FALSE),"")</f>
        <v/>
      </c>
      <c r="H252" s="15" t="str">
        <f ca="1">IFERROR(VLOOKUP(A252,INDIRECT("'"&amp;K252&amp;"'!A:I"),9,FALSE),"")</f>
        <v/>
      </c>
      <c r="I252" s="19" t="str">
        <f ca="1">IFERROR(G252*H252,"")</f>
        <v/>
      </c>
      <c r="J252" s="20" t="str">
        <f ca="1">IF(B252="","",IF(VLOOKUP(A252,INDIRECT("'"&amp;K252&amp;"'!A:L"),11,FALSE)="","",IFERROR(VLOOKUP(A252,INDIRECT("'"&amp;K252&amp;"'!A:L"),11,FALSE),"")))</f>
        <v/>
      </c>
      <c r="K252" s="17" t="str">
        <f t="shared" ca="1" si="146"/>
        <v>包8</v>
      </c>
    </row>
    <row r="253" spans="1:11" ht="18" customHeight="1" x14ac:dyDescent="0.15">
      <c r="A253" s="10">
        <f ca="1">COUNTIF(K$8:K253,K253)-1</f>
        <v>4</v>
      </c>
      <c r="B253" s="11" t="str">
        <f ca="1">IFERROR(VLOOKUP(A253,INDIRECT("'"&amp;K253&amp;"'!A:I"),3,FALSE),"")</f>
        <v/>
      </c>
      <c r="C253" s="11" t="str">
        <f ca="1">IFERROR(VLOOKUP(A253,INDIRECT("'"&amp;K253&amp;"'!A:I"),4,FALSE),"")</f>
        <v/>
      </c>
      <c r="D253" s="12" t="str">
        <f ca="1">IFERROR(VLOOKUP(A253,INDIRECT("'"&amp;K253&amp;"'!A:I"),5,FALSE),"")</f>
        <v/>
      </c>
      <c r="E253" s="11" t="str">
        <f ca="1">IF(B253="","",IF(VLOOKUP(A253,INDIRECT("'"&amp;K253&amp;"'!A:I"),6,FALSE)="","",IFERROR(VLOOKUP(A253,INDIRECT("'"&amp;K253&amp;"'!A:I"),6,FALSE),"")))</f>
        <v/>
      </c>
      <c r="F253" s="13" t="str">
        <f ca="1">IFERROR(VLOOKUP(A253,INDIRECT("'"&amp;K253&amp;"'!A:I"),7,FALSE),"")</f>
        <v/>
      </c>
      <c r="G253" s="14" t="str">
        <f ca="1">IFERROR(VLOOKUP(A253,INDIRECT("'"&amp;K253&amp;"'!A:I"),8,FALSE),"")</f>
        <v/>
      </c>
      <c r="H253" s="15" t="str">
        <f ca="1">IFERROR(VLOOKUP(A253,INDIRECT("'"&amp;K253&amp;"'!A:I"),9,FALSE),"")</f>
        <v/>
      </c>
      <c r="I253" s="19" t="str">
        <f ca="1">IFERROR(G253*H253,"")</f>
        <v/>
      </c>
      <c r="J253" s="20" t="str">
        <f ca="1">IF(B253="","",IF(VLOOKUP(A253,INDIRECT("'"&amp;K253&amp;"'!A:L"),11,FALSE)="","",IFERROR(VLOOKUP(A253,INDIRECT("'"&amp;K253&amp;"'!A:L"),11,FALSE),"")))</f>
        <v/>
      </c>
      <c r="K253" s="17" t="str">
        <f t="shared" ca="1" si="146"/>
        <v>包8</v>
      </c>
    </row>
    <row r="254" spans="1:11" ht="18" customHeight="1" x14ac:dyDescent="0.15">
      <c r="A254" s="10">
        <f ca="1">COUNTIF(K$8:K254,K254)-1</f>
        <v>5</v>
      </c>
      <c r="B254" s="11" t="str">
        <f ca="1">IFERROR(VLOOKUP(A254,INDIRECT("'"&amp;K254&amp;"'!A:I"),3,FALSE),"")</f>
        <v/>
      </c>
      <c r="C254" s="11" t="str">
        <f ca="1">IFERROR(VLOOKUP(A254,INDIRECT("'"&amp;K254&amp;"'!A:I"),4,FALSE),"")</f>
        <v/>
      </c>
      <c r="D254" s="12" t="str">
        <f ca="1">IFERROR(VLOOKUP(A254,INDIRECT("'"&amp;K254&amp;"'!A:I"),5,FALSE),"")</f>
        <v/>
      </c>
      <c r="E254" s="11" t="str">
        <f ca="1">IF(B254="","",IF(VLOOKUP(A254,INDIRECT("'"&amp;K254&amp;"'!A:I"),6,FALSE)="","",IFERROR(VLOOKUP(A254,INDIRECT("'"&amp;K254&amp;"'!A:I"),6,FALSE),"")))</f>
        <v/>
      </c>
      <c r="F254" s="13" t="str">
        <f ca="1">IFERROR(VLOOKUP(A254,INDIRECT("'"&amp;K254&amp;"'!A:I"),7,FALSE),"")</f>
        <v/>
      </c>
      <c r="G254" s="14" t="str">
        <f ca="1">IFERROR(VLOOKUP(A254,INDIRECT("'"&amp;K254&amp;"'!A:I"),8,FALSE),"")</f>
        <v/>
      </c>
      <c r="H254" s="15" t="str">
        <f ca="1">IFERROR(VLOOKUP(A254,INDIRECT("'"&amp;K254&amp;"'!A:I"),9,FALSE),"")</f>
        <v/>
      </c>
      <c r="I254" s="19" t="str">
        <f ca="1">IFERROR(G254*H254,"")</f>
        <v/>
      </c>
      <c r="J254" s="20" t="str">
        <f ca="1">IF(B254="","",IF(VLOOKUP(A254,INDIRECT("'"&amp;K254&amp;"'!A:L"),11,FALSE)="","",IFERROR(VLOOKUP(A254,INDIRECT("'"&amp;K254&amp;"'!A:L"),11,FALSE),"")))</f>
        <v/>
      </c>
      <c r="K254" s="17" t="str">
        <f t="shared" ca="1" si="146"/>
        <v>包8</v>
      </c>
    </row>
    <row r="255" spans="1:11" ht="18" customHeight="1" x14ac:dyDescent="0.15">
      <c r="A255" s="10">
        <f ca="1">COUNTIF(K$8:K255,K255)-1</f>
        <v>6</v>
      </c>
      <c r="B255" s="11" t="str">
        <f t="shared" ref="B255:B267" ca="1" si="156">IFERROR(VLOOKUP(A255,INDIRECT("'"&amp;K255&amp;"'!A:I"),3,FALSE),"")</f>
        <v/>
      </c>
      <c r="C255" s="11" t="str">
        <f t="shared" ref="C255:C267" ca="1" si="157">IFERROR(VLOOKUP(A255,INDIRECT("'"&amp;K255&amp;"'!A:I"),4,FALSE),"")</f>
        <v/>
      </c>
      <c r="D255" s="12" t="str">
        <f t="shared" ref="D255:D267" ca="1" si="158">IFERROR(VLOOKUP(A255,INDIRECT("'"&amp;K255&amp;"'!A:I"),5,FALSE),"")</f>
        <v/>
      </c>
      <c r="E255" s="11" t="str">
        <f t="shared" ref="E255:E267" ca="1" si="159">IF(B255="","",IF(VLOOKUP(A255,INDIRECT("'"&amp;K255&amp;"'!A:I"),6,FALSE)="","",IFERROR(VLOOKUP(A255,INDIRECT("'"&amp;K255&amp;"'!A:I"),6,FALSE),"")))</f>
        <v/>
      </c>
      <c r="F255" s="13" t="str">
        <f t="shared" ref="F255:F267" ca="1" si="160">IFERROR(VLOOKUP(A255,INDIRECT("'"&amp;K255&amp;"'!A:I"),7,FALSE),"")</f>
        <v/>
      </c>
      <c r="G255" s="14" t="str">
        <f t="shared" ref="G255:G267" ca="1" si="161">IFERROR(VLOOKUP(A255,INDIRECT("'"&amp;K255&amp;"'!A:I"),8,FALSE),"")</f>
        <v/>
      </c>
      <c r="H255" s="15" t="str">
        <f t="shared" ref="H255:H267" ca="1" si="162">IFERROR(VLOOKUP(A255,INDIRECT("'"&amp;K255&amp;"'!A:I"),9,FALSE),"")</f>
        <v/>
      </c>
      <c r="I255" s="19" t="str">
        <f t="shared" ref="I255:I267" ca="1" si="163">IFERROR(G255*H255,"")</f>
        <v/>
      </c>
      <c r="J255" s="20" t="str">
        <f t="shared" ref="J255:J267" ca="1" si="164">IF(B255="","",IF(VLOOKUP(A255,INDIRECT("'"&amp;K255&amp;"'!A:L"),11,FALSE)="","",IFERROR(VLOOKUP(A255,INDIRECT("'"&amp;K255&amp;"'!A:L"),11,FALSE),"")))</f>
        <v/>
      </c>
      <c r="K255" s="17" t="str">
        <f t="shared" ca="1" si="146"/>
        <v>包8</v>
      </c>
    </row>
    <row r="256" spans="1:11" ht="18" customHeight="1" x14ac:dyDescent="0.15">
      <c r="A256" s="10">
        <f ca="1">COUNTIF(K$8:K256,K256)-1</f>
        <v>7</v>
      </c>
      <c r="B256" s="11" t="str">
        <f t="shared" ca="1" si="156"/>
        <v/>
      </c>
      <c r="C256" s="11" t="str">
        <f t="shared" ca="1" si="157"/>
        <v/>
      </c>
      <c r="D256" s="12" t="str">
        <f t="shared" ca="1" si="158"/>
        <v/>
      </c>
      <c r="E256" s="11" t="str">
        <f t="shared" ca="1" si="159"/>
        <v/>
      </c>
      <c r="F256" s="13" t="str">
        <f t="shared" ca="1" si="160"/>
        <v/>
      </c>
      <c r="G256" s="14" t="str">
        <f t="shared" ca="1" si="161"/>
        <v/>
      </c>
      <c r="H256" s="15" t="str">
        <f t="shared" ca="1" si="162"/>
        <v/>
      </c>
      <c r="I256" s="19" t="str">
        <f t="shared" ca="1" si="163"/>
        <v/>
      </c>
      <c r="J256" s="20" t="str">
        <f t="shared" ca="1" si="164"/>
        <v/>
      </c>
      <c r="K256" s="17" t="str">
        <f t="shared" ca="1" si="146"/>
        <v>包8</v>
      </c>
    </row>
    <row r="257" spans="1:11" ht="18" customHeight="1" x14ac:dyDescent="0.15">
      <c r="A257" s="10">
        <f ca="1">COUNTIF(K$8:K257,K257)-1</f>
        <v>8</v>
      </c>
      <c r="B257" s="11" t="str">
        <f t="shared" ca="1" si="156"/>
        <v/>
      </c>
      <c r="C257" s="11" t="str">
        <f t="shared" ca="1" si="157"/>
        <v/>
      </c>
      <c r="D257" s="12" t="str">
        <f t="shared" ca="1" si="158"/>
        <v/>
      </c>
      <c r="E257" s="11" t="str">
        <f t="shared" ca="1" si="159"/>
        <v/>
      </c>
      <c r="F257" s="13" t="str">
        <f t="shared" ca="1" si="160"/>
        <v/>
      </c>
      <c r="G257" s="14" t="str">
        <f t="shared" ca="1" si="161"/>
        <v/>
      </c>
      <c r="H257" s="15" t="str">
        <f t="shared" ca="1" si="162"/>
        <v/>
      </c>
      <c r="I257" s="19" t="str">
        <f t="shared" ca="1" si="163"/>
        <v/>
      </c>
      <c r="J257" s="20" t="str">
        <f t="shared" ca="1" si="164"/>
        <v/>
      </c>
      <c r="K257" s="17" t="str">
        <f t="shared" ca="1" si="146"/>
        <v>包8</v>
      </c>
    </row>
    <row r="258" spans="1:11" ht="18" customHeight="1" x14ac:dyDescent="0.15">
      <c r="A258" s="10">
        <f ca="1">COUNTIF(K$8:K258,K258)-1</f>
        <v>9</v>
      </c>
      <c r="B258" s="11" t="str">
        <f t="shared" ca="1" si="156"/>
        <v/>
      </c>
      <c r="C258" s="11" t="str">
        <f t="shared" ca="1" si="157"/>
        <v/>
      </c>
      <c r="D258" s="12" t="str">
        <f t="shared" ca="1" si="158"/>
        <v/>
      </c>
      <c r="E258" s="11" t="str">
        <f t="shared" ca="1" si="159"/>
        <v/>
      </c>
      <c r="F258" s="13" t="str">
        <f t="shared" ca="1" si="160"/>
        <v/>
      </c>
      <c r="G258" s="14" t="str">
        <f t="shared" ca="1" si="161"/>
        <v/>
      </c>
      <c r="H258" s="15" t="str">
        <f t="shared" ca="1" si="162"/>
        <v/>
      </c>
      <c r="I258" s="19" t="str">
        <f t="shared" ca="1" si="163"/>
        <v/>
      </c>
      <c r="J258" s="20" t="str">
        <f t="shared" ca="1" si="164"/>
        <v/>
      </c>
      <c r="K258" s="17" t="str">
        <f t="shared" ca="1" si="146"/>
        <v>包8</v>
      </c>
    </row>
    <row r="259" spans="1:11" ht="18" customHeight="1" x14ac:dyDescent="0.15">
      <c r="A259" s="10">
        <f ca="1">COUNTIF(K$8:K259,K259)-1</f>
        <v>10</v>
      </c>
      <c r="B259" s="11" t="str">
        <f t="shared" ca="1" si="156"/>
        <v/>
      </c>
      <c r="C259" s="11" t="str">
        <f t="shared" ca="1" si="157"/>
        <v/>
      </c>
      <c r="D259" s="12" t="str">
        <f t="shared" ca="1" si="158"/>
        <v/>
      </c>
      <c r="E259" s="11" t="str">
        <f t="shared" ca="1" si="159"/>
        <v/>
      </c>
      <c r="F259" s="13" t="str">
        <f t="shared" ca="1" si="160"/>
        <v/>
      </c>
      <c r="G259" s="14" t="str">
        <f t="shared" ca="1" si="161"/>
        <v/>
      </c>
      <c r="H259" s="15" t="str">
        <f t="shared" ca="1" si="162"/>
        <v/>
      </c>
      <c r="I259" s="19" t="str">
        <f t="shared" ca="1" si="163"/>
        <v/>
      </c>
      <c r="J259" s="20" t="str">
        <f t="shared" ca="1" si="164"/>
        <v/>
      </c>
      <c r="K259" s="17" t="str">
        <f t="shared" ca="1" si="146"/>
        <v>包8</v>
      </c>
    </row>
    <row r="260" spans="1:11" ht="18" customHeight="1" x14ac:dyDescent="0.15">
      <c r="A260" s="10">
        <f ca="1">COUNTIF(K$8:K260,K260)-1</f>
        <v>11</v>
      </c>
      <c r="B260" s="11" t="str">
        <f t="shared" ca="1" si="156"/>
        <v/>
      </c>
      <c r="C260" s="11" t="str">
        <f t="shared" ca="1" si="157"/>
        <v/>
      </c>
      <c r="D260" s="12" t="str">
        <f t="shared" ca="1" si="158"/>
        <v/>
      </c>
      <c r="E260" s="11" t="str">
        <f t="shared" ca="1" si="159"/>
        <v/>
      </c>
      <c r="F260" s="13" t="str">
        <f t="shared" ca="1" si="160"/>
        <v/>
      </c>
      <c r="G260" s="14" t="str">
        <f t="shared" ca="1" si="161"/>
        <v/>
      </c>
      <c r="H260" s="15" t="str">
        <f t="shared" ca="1" si="162"/>
        <v/>
      </c>
      <c r="I260" s="19" t="str">
        <f t="shared" ca="1" si="163"/>
        <v/>
      </c>
      <c r="J260" s="20" t="str">
        <f t="shared" ca="1" si="164"/>
        <v/>
      </c>
      <c r="K260" s="17" t="str">
        <f t="shared" ca="1" si="146"/>
        <v>包8</v>
      </c>
    </row>
    <row r="261" spans="1:11" ht="18" customHeight="1" x14ac:dyDescent="0.15">
      <c r="A261" s="10">
        <f ca="1">COUNTIF(K$8:K261,K261)-1</f>
        <v>12</v>
      </c>
      <c r="B261" s="11" t="str">
        <f t="shared" ca="1" si="156"/>
        <v/>
      </c>
      <c r="C261" s="11" t="str">
        <f t="shared" ca="1" si="157"/>
        <v/>
      </c>
      <c r="D261" s="12" t="str">
        <f t="shared" ca="1" si="158"/>
        <v/>
      </c>
      <c r="E261" s="11" t="str">
        <f t="shared" ca="1" si="159"/>
        <v/>
      </c>
      <c r="F261" s="13" t="str">
        <f t="shared" ca="1" si="160"/>
        <v/>
      </c>
      <c r="G261" s="14" t="str">
        <f t="shared" ca="1" si="161"/>
        <v/>
      </c>
      <c r="H261" s="15" t="str">
        <f t="shared" ca="1" si="162"/>
        <v/>
      </c>
      <c r="I261" s="19" t="str">
        <f t="shared" ca="1" si="163"/>
        <v/>
      </c>
      <c r="J261" s="20" t="str">
        <f t="shared" ca="1" si="164"/>
        <v/>
      </c>
      <c r="K261" s="17" t="str">
        <f t="shared" ca="1" si="146"/>
        <v>包8</v>
      </c>
    </row>
    <row r="262" spans="1:11" ht="18" customHeight="1" x14ac:dyDescent="0.15">
      <c r="A262" s="10">
        <f ca="1">COUNTIF(K$8:K262,K262)-1</f>
        <v>13</v>
      </c>
      <c r="B262" s="11" t="str">
        <f t="shared" ca="1" si="156"/>
        <v/>
      </c>
      <c r="C262" s="11" t="str">
        <f t="shared" ca="1" si="157"/>
        <v/>
      </c>
      <c r="D262" s="12" t="str">
        <f t="shared" ca="1" si="158"/>
        <v/>
      </c>
      <c r="E262" s="11" t="str">
        <f t="shared" ca="1" si="159"/>
        <v/>
      </c>
      <c r="F262" s="13" t="str">
        <f t="shared" ca="1" si="160"/>
        <v/>
      </c>
      <c r="G262" s="14" t="str">
        <f t="shared" ca="1" si="161"/>
        <v/>
      </c>
      <c r="H262" s="15" t="str">
        <f t="shared" ca="1" si="162"/>
        <v/>
      </c>
      <c r="I262" s="19" t="str">
        <f t="shared" ca="1" si="163"/>
        <v/>
      </c>
      <c r="J262" s="20" t="str">
        <f t="shared" ca="1" si="164"/>
        <v/>
      </c>
      <c r="K262" s="17" t="str">
        <f t="shared" ca="1" si="146"/>
        <v>包8</v>
      </c>
    </row>
    <row r="263" spans="1:11" ht="18" customHeight="1" x14ac:dyDescent="0.15">
      <c r="A263" s="10">
        <f ca="1">COUNTIF(K$8:K263,K263)-1</f>
        <v>14</v>
      </c>
      <c r="B263" s="11" t="str">
        <f t="shared" ca="1" si="156"/>
        <v/>
      </c>
      <c r="C263" s="11" t="str">
        <f t="shared" ca="1" si="157"/>
        <v/>
      </c>
      <c r="D263" s="12" t="str">
        <f t="shared" ca="1" si="158"/>
        <v/>
      </c>
      <c r="E263" s="11" t="str">
        <f t="shared" ca="1" si="159"/>
        <v/>
      </c>
      <c r="F263" s="13" t="str">
        <f t="shared" ca="1" si="160"/>
        <v/>
      </c>
      <c r="G263" s="14" t="str">
        <f t="shared" ca="1" si="161"/>
        <v/>
      </c>
      <c r="H263" s="15" t="str">
        <f t="shared" ca="1" si="162"/>
        <v/>
      </c>
      <c r="I263" s="19" t="str">
        <f t="shared" ca="1" si="163"/>
        <v/>
      </c>
      <c r="J263" s="20" t="str">
        <f t="shared" ca="1" si="164"/>
        <v/>
      </c>
      <c r="K263" s="17" t="str">
        <f t="shared" ca="1" si="146"/>
        <v>包8</v>
      </c>
    </row>
    <row r="264" spans="1:11" ht="18" customHeight="1" x14ac:dyDescent="0.15">
      <c r="A264" s="10">
        <f ca="1">COUNTIF(K$8:K264,K264)-1</f>
        <v>15</v>
      </c>
      <c r="B264" s="11" t="str">
        <f t="shared" ca="1" si="156"/>
        <v/>
      </c>
      <c r="C264" s="11" t="str">
        <f t="shared" ca="1" si="157"/>
        <v/>
      </c>
      <c r="D264" s="12" t="str">
        <f t="shared" ca="1" si="158"/>
        <v/>
      </c>
      <c r="E264" s="11" t="str">
        <f t="shared" ca="1" si="159"/>
        <v/>
      </c>
      <c r="F264" s="13" t="str">
        <f t="shared" ca="1" si="160"/>
        <v/>
      </c>
      <c r="G264" s="14" t="str">
        <f t="shared" ca="1" si="161"/>
        <v/>
      </c>
      <c r="H264" s="15" t="str">
        <f t="shared" ca="1" si="162"/>
        <v/>
      </c>
      <c r="I264" s="19" t="str">
        <f t="shared" ca="1" si="163"/>
        <v/>
      </c>
      <c r="J264" s="20" t="str">
        <f t="shared" ca="1" si="164"/>
        <v/>
      </c>
      <c r="K264" s="17" t="str">
        <f t="shared" ca="1" si="146"/>
        <v>包8</v>
      </c>
    </row>
    <row r="265" spans="1:11" ht="18" customHeight="1" x14ac:dyDescent="0.15">
      <c r="A265" s="10">
        <f ca="1">COUNTIF(K$8:K265,K265)-1</f>
        <v>16</v>
      </c>
      <c r="B265" s="11" t="str">
        <f t="shared" ca="1" si="156"/>
        <v/>
      </c>
      <c r="C265" s="11" t="str">
        <f t="shared" ca="1" si="157"/>
        <v/>
      </c>
      <c r="D265" s="12" t="str">
        <f t="shared" ca="1" si="158"/>
        <v/>
      </c>
      <c r="E265" s="11" t="str">
        <f t="shared" ca="1" si="159"/>
        <v/>
      </c>
      <c r="F265" s="13" t="str">
        <f t="shared" ca="1" si="160"/>
        <v/>
      </c>
      <c r="G265" s="14" t="str">
        <f t="shared" ca="1" si="161"/>
        <v/>
      </c>
      <c r="H265" s="15" t="str">
        <f t="shared" ca="1" si="162"/>
        <v/>
      </c>
      <c r="I265" s="19" t="str">
        <f t="shared" ca="1" si="163"/>
        <v/>
      </c>
      <c r="J265" s="20" t="str">
        <f t="shared" ca="1" si="164"/>
        <v/>
      </c>
      <c r="K265" s="17" t="str">
        <f t="shared" ca="1" si="146"/>
        <v>包8</v>
      </c>
    </row>
    <row r="266" spans="1:11" ht="18" customHeight="1" x14ac:dyDescent="0.15">
      <c r="A266" s="10">
        <f ca="1">COUNTIF(K$8:K266,K266)-1</f>
        <v>17</v>
      </c>
      <c r="B266" s="11" t="str">
        <f t="shared" ca="1" si="156"/>
        <v/>
      </c>
      <c r="C266" s="11" t="str">
        <f t="shared" ca="1" si="157"/>
        <v/>
      </c>
      <c r="D266" s="12" t="str">
        <f t="shared" ca="1" si="158"/>
        <v/>
      </c>
      <c r="E266" s="11" t="str">
        <f t="shared" ca="1" si="159"/>
        <v/>
      </c>
      <c r="F266" s="13" t="str">
        <f t="shared" ca="1" si="160"/>
        <v/>
      </c>
      <c r="G266" s="14" t="str">
        <f t="shared" ca="1" si="161"/>
        <v/>
      </c>
      <c r="H266" s="15" t="str">
        <f t="shared" ca="1" si="162"/>
        <v/>
      </c>
      <c r="I266" s="19" t="str">
        <f t="shared" ca="1" si="163"/>
        <v/>
      </c>
      <c r="J266" s="20" t="str">
        <f t="shared" ca="1" si="164"/>
        <v/>
      </c>
      <c r="K266" s="17" t="str">
        <f t="shared" ca="1" si="146"/>
        <v>包8</v>
      </c>
    </row>
    <row r="267" spans="1:11" ht="18" customHeight="1" x14ac:dyDescent="0.15">
      <c r="A267" s="10">
        <f ca="1">COUNTIF(K$8:K267,K267)-1</f>
        <v>18</v>
      </c>
      <c r="B267" s="11" t="str">
        <f t="shared" ca="1" si="156"/>
        <v/>
      </c>
      <c r="C267" s="11" t="str">
        <f t="shared" ca="1" si="157"/>
        <v/>
      </c>
      <c r="D267" s="12" t="str">
        <f t="shared" ca="1" si="158"/>
        <v/>
      </c>
      <c r="E267" s="11" t="str">
        <f t="shared" ca="1" si="159"/>
        <v/>
      </c>
      <c r="F267" s="13" t="str">
        <f t="shared" ca="1" si="160"/>
        <v/>
      </c>
      <c r="G267" s="14" t="str">
        <f t="shared" ca="1" si="161"/>
        <v/>
      </c>
      <c r="H267" s="15" t="str">
        <f t="shared" ca="1" si="162"/>
        <v/>
      </c>
      <c r="I267" s="19" t="str">
        <f t="shared" ca="1" si="163"/>
        <v/>
      </c>
      <c r="J267" s="20" t="str">
        <f t="shared" ca="1" si="164"/>
        <v/>
      </c>
      <c r="K267" s="17" t="str">
        <f t="shared" ca="1" si="146"/>
        <v>包8</v>
      </c>
    </row>
    <row r="268" spans="1:11" ht="11.1" customHeight="1" x14ac:dyDescent="0.15">
      <c r="A268" s="472"/>
      <c r="B268" s="473"/>
      <c r="C268" s="473"/>
      <c r="D268" s="473"/>
      <c r="E268" s="473"/>
      <c r="F268" s="473"/>
      <c r="G268" s="473"/>
      <c r="H268" s="473"/>
      <c r="I268" s="473"/>
      <c r="J268" s="474"/>
      <c r="K268" s="17" t="str">
        <f t="shared" ca="1" si="146"/>
        <v>包8</v>
      </c>
    </row>
    <row r="269" spans="1:11" ht="21" customHeight="1" x14ac:dyDescent="0.15">
      <c r="A269" s="475" t="str">
        <f ca="1">K269&amp;"合计："</f>
        <v>包8合计：</v>
      </c>
      <c r="B269" s="476"/>
      <c r="C269" s="476"/>
      <c r="D269" s="476"/>
      <c r="E269" s="477"/>
      <c r="F269" s="478" t="str">
        <f ca="1">SUM(G249:G268)&amp;"台"</f>
        <v>0台</v>
      </c>
      <c r="G269" s="479"/>
      <c r="H269" s="465">
        <f ca="1">SUM(I249:I268)</f>
        <v>0</v>
      </c>
      <c r="I269" s="465"/>
      <c r="J269" s="465"/>
      <c r="K269" s="17" t="str">
        <f t="shared" ca="1" si="146"/>
        <v>包8</v>
      </c>
    </row>
    <row r="270" spans="1:11" s="1" customFormat="1" ht="24" customHeight="1" x14ac:dyDescent="0.2">
      <c r="A270" s="471" t="s">
        <v>258</v>
      </c>
      <c r="B270" s="471"/>
      <c r="C270" s="8"/>
      <c r="D270" s="9"/>
      <c r="E270" s="8"/>
      <c r="F270" s="9"/>
      <c r="G270" s="9"/>
      <c r="K270" s="17" t="str">
        <f>IF(ISNUMBER(FIND("配电柜",A270)),LEFT(A270,LEN(A270)-3),A270)</f>
        <v>包9</v>
      </c>
    </row>
    <row r="271" spans="1:11" ht="18" customHeight="1" x14ac:dyDescent="0.15">
      <c r="A271" s="10">
        <f ca="1">COUNTIF(K$8:K271,K271)-1</f>
        <v>1</v>
      </c>
      <c r="B271" s="11" t="str">
        <f t="shared" ref="B271:B280" ca="1" si="165">IFERROR(VLOOKUP(A271,INDIRECT("'"&amp;K271&amp;"'!A:I"),3,FALSE),"")</f>
        <v/>
      </c>
      <c r="C271" s="11" t="str">
        <f t="shared" ref="C271:C280" ca="1" si="166">IFERROR(VLOOKUP(A271,INDIRECT("'"&amp;K271&amp;"'!A:I"),4,FALSE),"")</f>
        <v/>
      </c>
      <c r="D271" s="12" t="str">
        <f t="shared" ref="D271:D280" ca="1" si="167">IFERROR(VLOOKUP(A271,INDIRECT("'"&amp;K271&amp;"'!A:I"),5,FALSE),"")</f>
        <v/>
      </c>
      <c r="E271" s="11" t="str">
        <f t="shared" ref="E271:E280" ca="1" si="168">IF(B271="","",IF(VLOOKUP(A271,INDIRECT("'"&amp;K271&amp;"'!A:I"),6,FALSE)="","",IFERROR(VLOOKUP(A271,INDIRECT("'"&amp;K271&amp;"'!A:I"),6,FALSE),"")))</f>
        <v/>
      </c>
      <c r="F271" s="13" t="str">
        <f t="shared" ref="F271:F280" ca="1" si="169">IFERROR(VLOOKUP(A271,INDIRECT("'"&amp;K271&amp;"'!A:I"),7,FALSE),"")</f>
        <v/>
      </c>
      <c r="G271" s="14" t="str">
        <f t="shared" ref="G271:G280" ca="1" si="170">IFERROR(VLOOKUP(A271,INDIRECT("'"&amp;K271&amp;"'!A:I"),8,FALSE),"")</f>
        <v/>
      </c>
      <c r="H271" s="15" t="str">
        <f t="shared" ref="H271:H280" ca="1" si="171">IFERROR(VLOOKUP(A271,INDIRECT("'"&amp;K271&amp;"'!A:I"),9,FALSE),"")</f>
        <v/>
      </c>
      <c r="I271" s="19" t="str">
        <f t="shared" ref="I271:I280" ca="1" si="172">IFERROR(G271*H271,"")</f>
        <v/>
      </c>
      <c r="J271" s="20" t="str">
        <f t="shared" ref="J271:J280" ca="1" si="173">IF(B271="","",IF(VLOOKUP(A271,INDIRECT("'"&amp;K271&amp;"'!A:L"),11,FALSE)="","",IFERROR(VLOOKUP(A271,INDIRECT("'"&amp;K271&amp;"'!A:L"),11,FALSE),"")))</f>
        <v/>
      </c>
      <c r="K271" s="17" t="str">
        <f t="shared" ca="1" si="146"/>
        <v>包9</v>
      </c>
    </row>
    <row r="272" spans="1:11" ht="18" customHeight="1" x14ac:dyDescent="0.15">
      <c r="A272" s="10">
        <f ca="1">COUNTIF(K$8:K272,K272)-1</f>
        <v>2</v>
      </c>
      <c r="B272" s="11" t="str">
        <f t="shared" ca="1" si="165"/>
        <v/>
      </c>
      <c r="C272" s="11" t="str">
        <f t="shared" ca="1" si="166"/>
        <v/>
      </c>
      <c r="D272" s="12" t="str">
        <f t="shared" ca="1" si="167"/>
        <v/>
      </c>
      <c r="E272" s="11" t="str">
        <f t="shared" ca="1" si="168"/>
        <v/>
      </c>
      <c r="F272" s="13" t="str">
        <f t="shared" ca="1" si="169"/>
        <v/>
      </c>
      <c r="G272" s="14" t="str">
        <f t="shared" ca="1" si="170"/>
        <v/>
      </c>
      <c r="H272" s="15" t="str">
        <f t="shared" ca="1" si="171"/>
        <v/>
      </c>
      <c r="I272" s="19" t="str">
        <f t="shared" ca="1" si="172"/>
        <v/>
      </c>
      <c r="J272" s="20" t="str">
        <f t="shared" ca="1" si="173"/>
        <v/>
      </c>
      <c r="K272" s="17" t="str">
        <f t="shared" ca="1" si="146"/>
        <v>包9</v>
      </c>
    </row>
    <row r="273" spans="1:11" ht="18" customHeight="1" x14ac:dyDescent="0.15">
      <c r="A273" s="10">
        <f ca="1">COUNTIF(K$8:K273,K273)-1</f>
        <v>3</v>
      </c>
      <c r="B273" s="11" t="str">
        <f t="shared" ca="1" si="165"/>
        <v/>
      </c>
      <c r="C273" s="11" t="str">
        <f t="shared" ca="1" si="166"/>
        <v/>
      </c>
      <c r="D273" s="12" t="str">
        <f t="shared" ca="1" si="167"/>
        <v/>
      </c>
      <c r="E273" s="11" t="str">
        <f t="shared" ca="1" si="168"/>
        <v/>
      </c>
      <c r="F273" s="13" t="str">
        <f t="shared" ca="1" si="169"/>
        <v/>
      </c>
      <c r="G273" s="14" t="str">
        <f t="shared" ca="1" si="170"/>
        <v/>
      </c>
      <c r="H273" s="15" t="str">
        <f t="shared" ca="1" si="171"/>
        <v/>
      </c>
      <c r="I273" s="19" t="str">
        <f t="shared" ca="1" si="172"/>
        <v/>
      </c>
      <c r="J273" s="20" t="str">
        <f t="shared" ca="1" si="173"/>
        <v/>
      </c>
      <c r="K273" s="17" t="str">
        <f t="shared" ca="1" si="146"/>
        <v>包9</v>
      </c>
    </row>
    <row r="274" spans="1:11" ht="18" customHeight="1" x14ac:dyDescent="0.15">
      <c r="A274" s="10">
        <f ca="1">COUNTIF(K$8:K274,K274)-1</f>
        <v>4</v>
      </c>
      <c r="B274" s="11" t="str">
        <f t="shared" ca="1" si="165"/>
        <v/>
      </c>
      <c r="C274" s="11" t="str">
        <f t="shared" ca="1" si="166"/>
        <v/>
      </c>
      <c r="D274" s="12" t="str">
        <f t="shared" ca="1" si="167"/>
        <v/>
      </c>
      <c r="E274" s="11" t="str">
        <f t="shared" ca="1" si="168"/>
        <v/>
      </c>
      <c r="F274" s="13" t="str">
        <f t="shared" ca="1" si="169"/>
        <v/>
      </c>
      <c r="G274" s="14" t="str">
        <f t="shared" ca="1" si="170"/>
        <v/>
      </c>
      <c r="H274" s="15" t="str">
        <f t="shared" ca="1" si="171"/>
        <v/>
      </c>
      <c r="I274" s="19" t="str">
        <f t="shared" ca="1" si="172"/>
        <v/>
      </c>
      <c r="J274" s="20" t="str">
        <f t="shared" ca="1" si="173"/>
        <v/>
      </c>
      <c r="K274" s="17" t="str">
        <f t="shared" ca="1" si="146"/>
        <v>包9</v>
      </c>
    </row>
    <row r="275" spans="1:11" ht="18" customHeight="1" x14ac:dyDescent="0.15">
      <c r="A275" s="10">
        <f ca="1">COUNTIF(K$8:K275,K275)-1</f>
        <v>5</v>
      </c>
      <c r="B275" s="11" t="str">
        <f t="shared" ca="1" si="165"/>
        <v/>
      </c>
      <c r="C275" s="11" t="str">
        <f t="shared" ca="1" si="166"/>
        <v/>
      </c>
      <c r="D275" s="12" t="str">
        <f t="shared" ca="1" si="167"/>
        <v/>
      </c>
      <c r="E275" s="11" t="str">
        <f t="shared" ca="1" si="168"/>
        <v/>
      </c>
      <c r="F275" s="13" t="str">
        <f t="shared" ca="1" si="169"/>
        <v/>
      </c>
      <c r="G275" s="14" t="str">
        <f t="shared" ca="1" si="170"/>
        <v/>
      </c>
      <c r="H275" s="15" t="str">
        <f t="shared" ca="1" si="171"/>
        <v/>
      </c>
      <c r="I275" s="19" t="str">
        <f t="shared" ca="1" si="172"/>
        <v/>
      </c>
      <c r="J275" s="20" t="str">
        <f t="shared" ca="1" si="173"/>
        <v/>
      </c>
      <c r="K275" s="17" t="str">
        <f t="shared" ca="1" si="146"/>
        <v>包9</v>
      </c>
    </row>
    <row r="276" spans="1:11" ht="18" customHeight="1" x14ac:dyDescent="0.15">
      <c r="A276" s="10">
        <f ca="1">COUNTIF(K$8:K276,K276)-1</f>
        <v>6</v>
      </c>
      <c r="B276" s="11" t="str">
        <f t="shared" ca="1" si="165"/>
        <v/>
      </c>
      <c r="C276" s="11" t="str">
        <f t="shared" ca="1" si="166"/>
        <v/>
      </c>
      <c r="D276" s="12" t="str">
        <f t="shared" ca="1" si="167"/>
        <v/>
      </c>
      <c r="E276" s="11" t="str">
        <f t="shared" ca="1" si="168"/>
        <v/>
      </c>
      <c r="F276" s="13" t="str">
        <f t="shared" ca="1" si="169"/>
        <v/>
      </c>
      <c r="G276" s="14" t="str">
        <f t="shared" ca="1" si="170"/>
        <v/>
      </c>
      <c r="H276" s="15" t="str">
        <f t="shared" ca="1" si="171"/>
        <v/>
      </c>
      <c r="I276" s="19" t="str">
        <f t="shared" ca="1" si="172"/>
        <v/>
      </c>
      <c r="J276" s="20" t="str">
        <f t="shared" ca="1" si="173"/>
        <v/>
      </c>
      <c r="K276" s="17" t="str">
        <f t="shared" ca="1" si="146"/>
        <v>包9</v>
      </c>
    </row>
    <row r="277" spans="1:11" ht="18" customHeight="1" x14ac:dyDescent="0.15">
      <c r="A277" s="10">
        <f ca="1">COUNTIF(K$8:K277,K277)-1</f>
        <v>7</v>
      </c>
      <c r="B277" s="11" t="str">
        <f t="shared" ca="1" si="165"/>
        <v/>
      </c>
      <c r="C277" s="11" t="str">
        <f t="shared" ca="1" si="166"/>
        <v/>
      </c>
      <c r="D277" s="12" t="str">
        <f t="shared" ca="1" si="167"/>
        <v/>
      </c>
      <c r="E277" s="11" t="str">
        <f t="shared" ca="1" si="168"/>
        <v/>
      </c>
      <c r="F277" s="13" t="str">
        <f t="shared" ca="1" si="169"/>
        <v/>
      </c>
      <c r="G277" s="14" t="str">
        <f t="shared" ca="1" si="170"/>
        <v/>
      </c>
      <c r="H277" s="15" t="str">
        <f t="shared" ca="1" si="171"/>
        <v/>
      </c>
      <c r="I277" s="19" t="str">
        <f t="shared" ca="1" si="172"/>
        <v/>
      </c>
      <c r="J277" s="20" t="str">
        <f t="shared" ca="1" si="173"/>
        <v/>
      </c>
      <c r="K277" s="17" t="str">
        <f t="shared" ca="1" si="146"/>
        <v>包9</v>
      </c>
    </row>
    <row r="278" spans="1:11" ht="18" customHeight="1" x14ac:dyDescent="0.15">
      <c r="A278" s="10">
        <f ca="1">COUNTIF(K$8:K278,K278)-1</f>
        <v>8</v>
      </c>
      <c r="B278" s="11" t="str">
        <f t="shared" ca="1" si="165"/>
        <v/>
      </c>
      <c r="C278" s="11" t="str">
        <f t="shared" ca="1" si="166"/>
        <v/>
      </c>
      <c r="D278" s="12" t="str">
        <f t="shared" ca="1" si="167"/>
        <v/>
      </c>
      <c r="E278" s="11" t="str">
        <f t="shared" ca="1" si="168"/>
        <v/>
      </c>
      <c r="F278" s="13" t="str">
        <f t="shared" ca="1" si="169"/>
        <v/>
      </c>
      <c r="G278" s="14" t="str">
        <f t="shared" ca="1" si="170"/>
        <v/>
      </c>
      <c r="H278" s="15" t="str">
        <f t="shared" ca="1" si="171"/>
        <v/>
      </c>
      <c r="I278" s="19" t="str">
        <f t="shared" ca="1" si="172"/>
        <v/>
      </c>
      <c r="J278" s="20" t="str">
        <f t="shared" ca="1" si="173"/>
        <v/>
      </c>
      <c r="K278" s="17" t="str">
        <f t="shared" ca="1" si="146"/>
        <v>包9</v>
      </c>
    </row>
    <row r="279" spans="1:11" ht="18" customHeight="1" x14ac:dyDescent="0.15">
      <c r="A279" s="10">
        <f ca="1">COUNTIF(K$8:K279,K279)-1</f>
        <v>9</v>
      </c>
      <c r="B279" s="11" t="str">
        <f t="shared" ca="1" si="165"/>
        <v/>
      </c>
      <c r="C279" s="11" t="str">
        <f t="shared" ca="1" si="166"/>
        <v/>
      </c>
      <c r="D279" s="12" t="str">
        <f t="shared" ca="1" si="167"/>
        <v/>
      </c>
      <c r="E279" s="11" t="str">
        <f t="shared" ca="1" si="168"/>
        <v/>
      </c>
      <c r="F279" s="13" t="str">
        <f t="shared" ca="1" si="169"/>
        <v/>
      </c>
      <c r="G279" s="14" t="str">
        <f t="shared" ca="1" si="170"/>
        <v/>
      </c>
      <c r="H279" s="15" t="str">
        <f t="shared" ca="1" si="171"/>
        <v/>
      </c>
      <c r="I279" s="19" t="str">
        <f t="shared" ca="1" si="172"/>
        <v/>
      </c>
      <c r="J279" s="20" t="str">
        <f t="shared" ca="1" si="173"/>
        <v/>
      </c>
      <c r="K279" s="17" t="str">
        <f t="shared" ca="1" si="146"/>
        <v>包9</v>
      </c>
    </row>
    <row r="280" spans="1:11" ht="18" customHeight="1" x14ac:dyDescent="0.15">
      <c r="A280" s="10">
        <f ca="1">COUNTIF(K$8:K280,K280)-1</f>
        <v>10</v>
      </c>
      <c r="B280" s="11" t="str">
        <f t="shared" ca="1" si="165"/>
        <v/>
      </c>
      <c r="C280" s="11" t="str">
        <f t="shared" ca="1" si="166"/>
        <v/>
      </c>
      <c r="D280" s="12" t="str">
        <f t="shared" ca="1" si="167"/>
        <v/>
      </c>
      <c r="E280" s="11" t="str">
        <f t="shared" ca="1" si="168"/>
        <v/>
      </c>
      <c r="F280" s="13" t="str">
        <f t="shared" ca="1" si="169"/>
        <v/>
      </c>
      <c r="G280" s="14" t="str">
        <f t="shared" ca="1" si="170"/>
        <v/>
      </c>
      <c r="H280" s="15" t="str">
        <f t="shared" ca="1" si="171"/>
        <v/>
      </c>
      <c r="I280" s="19" t="str">
        <f t="shared" ca="1" si="172"/>
        <v/>
      </c>
      <c r="J280" s="20" t="str">
        <f t="shared" ca="1" si="173"/>
        <v/>
      </c>
      <c r="K280" s="17" t="str">
        <f t="shared" ca="1" si="146"/>
        <v>包9</v>
      </c>
    </row>
    <row r="281" spans="1:11" ht="18" customHeight="1" x14ac:dyDescent="0.15">
      <c r="A281" s="10">
        <f ca="1">COUNTIF(K$8:K281,K281)-1</f>
        <v>11</v>
      </c>
      <c r="B281" s="11" t="str">
        <f t="shared" ref="B281:B288" ca="1" si="174">IFERROR(VLOOKUP(A281,INDIRECT("'"&amp;K281&amp;"'!A:I"),3,FALSE),"")</f>
        <v/>
      </c>
      <c r="C281" s="11" t="str">
        <f t="shared" ref="C281:C288" ca="1" si="175">IFERROR(VLOOKUP(A281,INDIRECT("'"&amp;K281&amp;"'!A:I"),4,FALSE),"")</f>
        <v/>
      </c>
      <c r="D281" s="12" t="str">
        <f t="shared" ref="D281:D288" ca="1" si="176">IFERROR(VLOOKUP(A281,INDIRECT("'"&amp;K281&amp;"'!A:I"),5,FALSE),"")</f>
        <v/>
      </c>
      <c r="E281" s="11" t="str">
        <f t="shared" ref="E281:E288" ca="1" si="177">IF(B281="","",IF(VLOOKUP(A281,INDIRECT("'"&amp;K281&amp;"'!A:I"),6,FALSE)="","",IFERROR(VLOOKUP(A281,INDIRECT("'"&amp;K281&amp;"'!A:I"),6,FALSE),"")))</f>
        <v/>
      </c>
      <c r="F281" s="13" t="str">
        <f t="shared" ref="F281:F288" ca="1" si="178">IFERROR(VLOOKUP(A281,INDIRECT("'"&amp;K281&amp;"'!A:I"),7,FALSE),"")</f>
        <v/>
      </c>
      <c r="G281" s="14" t="str">
        <f t="shared" ref="G281:G288" ca="1" si="179">IFERROR(VLOOKUP(A281,INDIRECT("'"&amp;K281&amp;"'!A:I"),8,FALSE),"")</f>
        <v/>
      </c>
      <c r="H281" s="15" t="str">
        <f t="shared" ref="H281:H288" ca="1" si="180">IFERROR(VLOOKUP(A281,INDIRECT("'"&amp;K281&amp;"'!A:I"),9,FALSE),"")</f>
        <v/>
      </c>
      <c r="I281" s="19" t="str">
        <f t="shared" ref="I281:I288" ca="1" si="181">IFERROR(G281*H281,"")</f>
        <v/>
      </c>
      <c r="J281" s="20" t="str">
        <f t="shared" ref="J281:J288" ca="1" si="182">IF(B281="","",IF(VLOOKUP(A281,INDIRECT("'"&amp;K281&amp;"'!A:L"),11,FALSE)="","",IFERROR(VLOOKUP(A281,INDIRECT("'"&amp;K281&amp;"'!A:L"),11,FALSE),"")))</f>
        <v/>
      </c>
      <c r="K281" s="17" t="str">
        <f t="shared" ca="1" si="146"/>
        <v>包9</v>
      </c>
    </row>
    <row r="282" spans="1:11" ht="18" customHeight="1" x14ac:dyDescent="0.15">
      <c r="A282" s="10">
        <f ca="1">COUNTIF(K$8:K282,K282)-1</f>
        <v>12</v>
      </c>
      <c r="B282" s="11" t="str">
        <f t="shared" ca="1" si="174"/>
        <v/>
      </c>
      <c r="C282" s="11" t="str">
        <f t="shared" ca="1" si="175"/>
        <v/>
      </c>
      <c r="D282" s="12" t="str">
        <f t="shared" ca="1" si="176"/>
        <v/>
      </c>
      <c r="E282" s="11" t="str">
        <f t="shared" ca="1" si="177"/>
        <v/>
      </c>
      <c r="F282" s="13" t="str">
        <f t="shared" ca="1" si="178"/>
        <v/>
      </c>
      <c r="G282" s="14" t="str">
        <f t="shared" ca="1" si="179"/>
        <v/>
      </c>
      <c r="H282" s="15" t="str">
        <f t="shared" ca="1" si="180"/>
        <v/>
      </c>
      <c r="I282" s="19" t="str">
        <f t="shared" ca="1" si="181"/>
        <v/>
      </c>
      <c r="J282" s="20" t="str">
        <f t="shared" ca="1" si="182"/>
        <v/>
      </c>
      <c r="K282" s="17" t="str">
        <f t="shared" ca="1" si="146"/>
        <v>包9</v>
      </c>
    </row>
    <row r="283" spans="1:11" ht="18" customHeight="1" x14ac:dyDescent="0.15">
      <c r="A283" s="10">
        <f ca="1">COUNTIF(K$8:K283,K283)-1</f>
        <v>13</v>
      </c>
      <c r="B283" s="11" t="str">
        <f t="shared" ca="1" si="174"/>
        <v/>
      </c>
      <c r="C283" s="11" t="str">
        <f t="shared" ca="1" si="175"/>
        <v/>
      </c>
      <c r="D283" s="12" t="str">
        <f t="shared" ca="1" si="176"/>
        <v/>
      </c>
      <c r="E283" s="11" t="str">
        <f t="shared" ca="1" si="177"/>
        <v/>
      </c>
      <c r="F283" s="13" t="str">
        <f t="shared" ca="1" si="178"/>
        <v/>
      </c>
      <c r="G283" s="14" t="str">
        <f t="shared" ca="1" si="179"/>
        <v/>
      </c>
      <c r="H283" s="15" t="str">
        <f t="shared" ca="1" si="180"/>
        <v/>
      </c>
      <c r="I283" s="19" t="str">
        <f t="shared" ca="1" si="181"/>
        <v/>
      </c>
      <c r="J283" s="20" t="str">
        <f t="shared" ca="1" si="182"/>
        <v/>
      </c>
      <c r="K283" s="17" t="str">
        <f t="shared" ca="1" si="146"/>
        <v>包9</v>
      </c>
    </row>
    <row r="284" spans="1:11" ht="18" customHeight="1" x14ac:dyDescent="0.15">
      <c r="A284" s="10">
        <f ca="1">COUNTIF(K$8:K284,K284)-1</f>
        <v>14</v>
      </c>
      <c r="B284" s="11" t="str">
        <f t="shared" ca="1" si="174"/>
        <v/>
      </c>
      <c r="C284" s="11" t="str">
        <f t="shared" ca="1" si="175"/>
        <v/>
      </c>
      <c r="D284" s="12" t="str">
        <f t="shared" ca="1" si="176"/>
        <v/>
      </c>
      <c r="E284" s="11" t="str">
        <f t="shared" ca="1" si="177"/>
        <v/>
      </c>
      <c r="F284" s="13" t="str">
        <f t="shared" ca="1" si="178"/>
        <v/>
      </c>
      <c r="G284" s="14" t="str">
        <f t="shared" ca="1" si="179"/>
        <v/>
      </c>
      <c r="H284" s="15" t="str">
        <f t="shared" ca="1" si="180"/>
        <v/>
      </c>
      <c r="I284" s="19" t="str">
        <f t="shared" ca="1" si="181"/>
        <v/>
      </c>
      <c r="J284" s="20" t="str">
        <f t="shared" ca="1" si="182"/>
        <v/>
      </c>
      <c r="K284" s="17" t="str">
        <f t="shared" ca="1" si="146"/>
        <v>包9</v>
      </c>
    </row>
    <row r="285" spans="1:11" ht="18" customHeight="1" x14ac:dyDescent="0.15">
      <c r="A285" s="10">
        <f ca="1">COUNTIF(K$8:K285,K285)-1</f>
        <v>15</v>
      </c>
      <c r="B285" s="11" t="str">
        <f t="shared" ca="1" si="174"/>
        <v/>
      </c>
      <c r="C285" s="11" t="str">
        <f t="shared" ca="1" si="175"/>
        <v/>
      </c>
      <c r="D285" s="12" t="str">
        <f t="shared" ca="1" si="176"/>
        <v/>
      </c>
      <c r="E285" s="11" t="str">
        <f t="shared" ca="1" si="177"/>
        <v/>
      </c>
      <c r="F285" s="13" t="str">
        <f t="shared" ca="1" si="178"/>
        <v/>
      </c>
      <c r="G285" s="14" t="str">
        <f t="shared" ca="1" si="179"/>
        <v/>
      </c>
      <c r="H285" s="15" t="str">
        <f t="shared" ca="1" si="180"/>
        <v/>
      </c>
      <c r="I285" s="19" t="str">
        <f t="shared" ca="1" si="181"/>
        <v/>
      </c>
      <c r="J285" s="20" t="str">
        <f t="shared" ca="1" si="182"/>
        <v/>
      </c>
      <c r="K285" s="17" t="str">
        <f t="shared" ca="1" si="146"/>
        <v>包9</v>
      </c>
    </row>
    <row r="286" spans="1:11" ht="18" customHeight="1" x14ac:dyDescent="0.15">
      <c r="A286" s="10">
        <f ca="1">COUNTIF(K$8:K286,K286)-1</f>
        <v>16</v>
      </c>
      <c r="B286" s="11" t="str">
        <f t="shared" ca="1" si="174"/>
        <v/>
      </c>
      <c r="C286" s="11" t="str">
        <f t="shared" ca="1" si="175"/>
        <v/>
      </c>
      <c r="D286" s="12" t="str">
        <f t="shared" ca="1" si="176"/>
        <v/>
      </c>
      <c r="E286" s="11" t="str">
        <f t="shared" ca="1" si="177"/>
        <v/>
      </c>
      <c r="F286" s="13" t="str">
        <f t="shared" ca="1" si="178"/>
        <v/>
      </c>
      <c r="G286" s="14" t="str">
        <f t="shared" ca="1" si="179"/>
        <v/>
      </c>
      <c r="H286" s="15" t="str">
        <f t="shared" ca="1" si="180"/>
        <v/>
      </c>
      <c r="I286" s="19" t="str">
        <f t="shared" ca="1" si="181"/>
        <v/>
      </c>
      <c r="J286" s="20" t="str">
        <f t="shared" ca="1" si="182"/>
        <v/>
      </c>
      <c r="K286" s="17" t="str">
        <f t="shared" ca="1" si="146"/>
        <v>包9</v>
      </c>
    </row>
    <row r="287" spans="1:11" ht="18" customHeight="1" x14ac:dyDescent="0.15">
      <c r="A287" s="10">
        <f ca="1">COUNTIF(K$8:K287,K287)-1</f>
        <v>17</v>
      </c>
      <c r="B287" s="11" t="str">
        <f t="shared" ca="1" si="174"/>
        <v/>
      </c>
      <c r="C287" s="11" t="str">
        <f t="shared" ca="1" si="175"/>
        <v/>
      </c>
      <c r="D287" s="12" t="str">
        <f t="shared" ca="1" si="176"/>
        <v/>
      </c>
      <c r="E287" s="11" t="str">
        <f t="shared" ca="1" si="177"/>
        <v/>
      </c>
      <c r="F287" s="13" t="str">
        <f t="shared" ca="1" si="178"/>
        <v/>
      </c>
      <c r="G287" s="14" t="str">
        <f t="shared" ca="1" si="179"/>
        <v/>
      </c>
      <c r="H287" s="15" t="str">
        <f t="shared" ca="1" si="180"/>
        <v/>
      </c>
      <c r="I287" s="19" t="str">
        <f t="shared" ca="1" si="181"/>
        <v/>
      </c>
      <c r="J287" s="20" t="str">
        <f t="shared" ca="1" si="182"/>
        <v/>
      </c>
      <c r="K287" s="17" t="str">
        <f t="shared" ca="1" si="146"/>
        <v>包9</v>
      </c>
    </row>
    <row r="288" spans="1:11" ht="18" customHeight="1" x14ac:dyDescent="0.15">
      <c r="A288" s="10">
        <f ca="1">COUNTIF(K$8:K288,K288)-1</f>
        <v>18</v>
      </c>
      <c r="B288" s="11" t="str">
        <f t="shared" ca="1" si="174"/>
        <v/>
      </c>
      <c r="C288" s="11" t="str">
        <f t="shared" ca="1" si="175"/>
        <v/>
      </c>
      <c r="D288" s="12" t="str">
        <f t="shared" ca="1" si="176"/>
        <v/>
      </c>
      <c r="E288" s="11" t="str">
        <f t="shared" ca="1" si="177"/>
        <v/>
      </c>
      <c r="F288" s="13" t="str">
        <f t="shared" ca="1" si="178"/>
        <v/>
      </c>
      <c r="G288" s="14" t="str">
        <f t="shared" ca="1" si="179"/>
        <v/>
      </c>
      <c r="H288" s="15" t="str">
        <f t="shared" ca="1" si="180"/>
        <v/>
      </c>
      <c r="I288" s="19" t="str">
        <f t="shared" ca="1" si="181"/>
        <v/>
      </c>
      <c r="J288" s="20" t="str">
        <f t="shared" ca="1" si="182"/>
        <v/>
      </c>
      <c r="K288" s="17" t="str">
        <f t="shared" ca="1" si="146"/>
        <v>包9</v>
      </c>
    </row>
    <row r="289" spans="1:11" ht="11.1" customHeight="1" x14ac:dyDescent="0.15">
      <c r="A289" s="472"/>
      <c r="B289" s="473"/>
      <c r="C289" s="473"/>
      <c r="D289" s="473"/>
      <c r="E289" s="473"/>
      <c r="F289" s="473"/>
      <c r="G289" s="473"/>
      <c r="H289" s="473"/>
      <c r="I289" s="473"/>
      <c r="J289" s="474"/>
      <c r="K289" s="17" t="str">
        <f t="shared" ca="1" si="146"/>
        <v>包9</v>
      </c>
    </row>
    <row r="290" spans="1:11" ht="21" customHeight="1" x14ac:dyDescent="0.15">
      <c r="A290" s="475" t="str">
        <f ca="1">K290&amp;"合计："</f>
        <v>包9合计：</v>
      </c>
      <c r="B290" s="476"/>
      <c r="C290" s="476"/>
      <c r="D290" s="476"/>
      <c r="E290" s="477"/>
      <c r="F290" s="478" t="str">
        <f ca="1">SUM(G270:G289)&amp;"台"</f>
        <v>0台</v>
      </c>
      <c r="G290" s="479"/>
      <c r="H290" s="465">
        <f ca="1">SUM(I270:I289)</f>
        <v>0</v>
      </c>
      <c r="I290" s="465"/>
      <c r="J290" s="465"/>
      <c r="K290" s="17" t="str">
        <f t="shared" ca="1" si="146"/>
        <v>包9</v>
      </c>
    </row>
    <row r="291" spans="1:11" s="1" customFormat="1" ht="24" customHeight="1" x14ac:dyDescent="0.2">
      <c r="A291" s="471" t="s">
        <v>259</v>
      </c>
      <c r="B291" s="471"/>
      <c r="C291" s="8"/>
      <c r="D291" s="9"/>
      <c r="E291" s="8"/>
      <c r="F291" s="9"/>
      <c r="G291" s="9"/>
      <c r="K291" s="17" t="str">
        <f>IF(ISNUMBER(FIND("配电柜",A291)),LEFT(A291,LEN(A291)-3),A291)</f>
        <v>包10</v>
      </c>
    </row>
    <row r="292" spans="1:11" ht="18" customHeight="1" x14ac:dyDescent="0.15">
      <c r="A292" s="10">
        <f ca="1">COUNTIF(K$8:K292,K292)-1</f>
        <v>1</v>
      </c>
      <c r="B292" s="11" t="str">
        <f t="shared" ref="B292:B301" ca="1" si="183">IFERROR(VLOOKUP(A292,INDIRECT("'"&amp;K292&amp;"'!A:I"),3,FALSE),"")</f>
        <v/>
      </c>
      <c r="C292" s="11" t="str">
        <f t="shared" ref="C292:C301" ca="1" si="184">IFERROR(VLOOKUP(A292,INDIRECT("'"&amp;K292&amp;"'!A:I"),4,FALSE),"")</f>
        <v/>
      </c>
      <c r="D292" s="12" t="str">
        <f t="shared" ref="D292:D301" ca="1" si="185">IFERROR(VLOOKUP(A292,INDIRECT("'"&amp;K292&amp;"'!A:I"),5,FALSE),"")</f>
        <v/>
      </c>
      <c r="E292" s="11" t="str">
        <f t="shared" ref="E292:E301" ca="1" si="186">IF(B292="","",IF(VLOOKUP(A292,INDIRECT("'"&amp;K292&amp;"'!A:I"),6,FALSE)="","",IFERROR(VLOOKUP(A292,INDIRECT("'"&amp;K292&amp;"'!A:I"),6,FALSE),"")))</f>
        <v/>
      </c>
      <c r="F292" s="13" t="str">
        <f t="shared" ref="F292:F301" ca="1" si="187">IFERROR(VLOOKUP(A292,INDIRECT("'"&amp;K292&amp;"'!A:I"),7,FALSE),"")</f>
        <v/>
      </c>
      <c r="G292" s="14" t="str">
        <f t="shared" ref="G292:G301" ca="1" si="188">IFERROR(VLOOKUP(A292,INDIRECT("'"&amp;K292&amp;"'!A:I"),8,FALSE),"")</f>
        <v/>
      </c>
      <c r="H292" s="15" t="str">
        <f t="shared" ref="H292:H301" ca="1" si="189">IFERROR(VLOOKUP(A292,INDIRECT("'"&amp;K292&amp;"'!A:I"),9,FALSE),"")</f>
        <v/>
      </c>
      <c r="I292" s="19" t="str">
        <f t="shared" ref="I292:I301" ca="1" si="190">IFERROR(G292*H292,"")</f>
        <v/>
      </c>
      <c r="J292" s="20" t="str">
        <f t="shared" ref="J292:J301" ca="1" si="191">IF(B292="","",IF(VLOOKUP(A292,INDIRECT("'"&amp;K292&amp;"'!A:L"),11,FALSE)="","",IFERROR(VLOOKUP(A292,INDIRECT("'"&amp;K292&amp;"'!A:L"),11,FALSE),"")))</f>
        <v/>
      </c>
      <c r="K292" s="17" t="str">
        <f t="shared" ca="1" si="146"/>
        <v>包10</v>
      </c>
    </row>
    <row r="293" spans="1:11" ht="18" customHeight="1" x14ac:dyDescent="0.15">
      <c r="A293" s="10">
        <f ca="1">COUNTIF(K$8:K293,K293)-1</f>
        <v>2</v>
      </c>
      <c r="B293" s="11" t="str">
        <f t="shared" ca="1" si="183"/>
        <v/>
      </c>
      <c r="C293" s="11" t="str">
        <f t="shared" ca="1" si="184"/>
        <v/>
      </c>
      <c r="D293" s="12" t="str">
        <f t="shared" ca="1" si="185"/>
        <v/>
      </c>
      <c r="E293" s="11" t="str">
        <f t="shared" ca="1" si="186"/>
        <v/>
      </c>
      <c r="F293" s="13" t="str">
        <f t="shared" ca="1" si="187"/>
        <v/>
      </c>
      <c r="G293" s="14" t="str">
        <f t="shared" ca="1" si="188"/>
        <v/>
      </c>
      <c r="H293" s="15" t="str">
        <f t="shared" ca="1" si="189"/>
        <v/>
      </c>
      <c r="I293" s="19" t="str">
        <f t="shared" ca="1" si="190"/>
        <v/>
      </c>
      <c r="J293" s="20" t="str">
        <f t="shared" ca="1" si="191"/>
        <v/>
      </c>
      <c r="K293" s="17" t="str">
        <f t="shared" ca="1" si="146"/>
        <v>包10</v>
      </c>
    </row>
    <row r="294" spans="1:11" ht="18" customHeight="1" x14ac:dyDescent="0.15">
      <c r="A294" s="10">
        <f ca="1">COUNTIF(K$8:K294,K294)-1</f>
        <v>3</v>
      </c>
      <c r="B294" s="11" t="str">
        <f t="shared" ca="1" si="183"/>
        <v/>
      </c>
      <c r="C294" s="11" t="str">
        <f t="shared" ca="1" si="184"/>
        <v/>
      </c>
      <c r="D294" s="12" t="str">
        <f t="shared" ca="1" si="185"/>
        <v/>
      </c>
      <c r="E294" s="11" t="str">
        <f t="shared" ca="1" si="186"/>
        <v/>
      </c>
      <c r="F294" s="13" t="str">
        <f t="shared" ca="1" si="187"/>
        <v/>
      </c>
      <c r="G294" s="14" t="str">
        <f t="shared" ca="1" si="188"/>
        <v/>
      </c>
      <c r="H294" s="15" t="str">
        <f t="shared" ca="1" si="189"/>
        <v/>
      </c>
      <c r="I294" s="19" t="str">
        <f t="shared" ca="1" si="190"/>
        <v/>
      </c>
      <c r="J294" s="20" t="str">
        <f t="shared" ca="1" si="191"/>
        <v/>
      </c>
      <c r="K294" s="17" t="str">
        <f t="shared" ca="1" si="146"/>
        <v>包10</v>
      </c>
    </row>
    <row r="295" spans="1:11" ht="18" customHeight="1" x14ac:dyDescent="0.15">
      <c r="A295" s="10">
        <f ca="1">COUNTIF(K$8:K295,K295)-1</f>
        <v>4</v>
      </c>
      <c r="B295" s="11" t="str">
        <f t="shared" ca="1" si="183"/>
        <v/>
      </c>
      <c r="C295" s="11" t="str">
        <f t="shared" ca="1" si="184"/>
        <v/>
      </c>
      <c r="D295" s="12" t="str">
        <f t="shared" ca="1" si="185"/>
        <v/>
      </c>
      <c r="E295" s="11" t="str">
        <f t="shared" ca="1" si="186"/>
        <v/>
      </c>
      <c r="F295" s="13" t="str">
        <f t="shared" ca="1" si="187"/>
        <v/>
      </c>
      <c r="G295" s="14" t="str">
        <f t="shared" ca="1" si="188"/>
        <v/>
      </c>
      <c r="H295" s="15" t="str">
        <f t="shared" ca="1" si="189"/>
        <v/>
      </c>
      <c r="I295" s="19" t="str">
        <f t="shared" ca="1" si="190"/>
        <v/>
      </c>
      <c r="J295" s="20" t="str">
        <f t="shared" ca="1" si="191"/>
        <v/>
      </c>
      <c r="K295" s="17" t="str">
        <f t="shared" ca="1" si="146"/>
        <v>包10</v>
      </c>
    </row>
    <row r="296" spans="1:11" ht="18" customHeight="1" x14ac:dyDescent="0.15">
      <c r="A296" s="10">
        <f ca="1">COUNTIF(K$8:K296,K296)-1</f>
        <v>5</v>
      </c>
      <c r="B296" s="11" t="str">
        <f t="shared" ca="1" si="183"/>
        <v/>
      </c>
      <c r="C296" s="11" t="str">
        <f t="shared" ca="1" si="184"/>
        <v/>
      </c>
      <c r="D296" s="12" t="str">
        <f t="shared" ca="1" si="185"/>
        <v/>
      </c>
      <c r="E296" s="11" t="str">
        <f t="shared" ca="1" si="186"/>
        <v/>
      </c>
      <c r="F296" s="13" t="str">
        <f t="shared" ca="1" si="187"/>
        <v/>
      </c>
      <c r="G296" s="14" t="str">
        <f t="shared" ca="1" si="188"/>
        <v/>
      </c>
      <c r="H296" s="15" t="str">
        <f t="shared" ca="1" si="189"/>
        <v/>
      </c>
      <c r="I296" s="19" t="str">
        <f t="shared" ca="1" si="190"/>
        <v/>
      </c>
      <c r="J296" s="20" t="str">
        <f t="shared" ca="1" si="191"/>
        <v/>
      </c>
      <c r="K296" s="17" t="str">
        <f t="shared" ca="1" si="146"/>
        <v>包10</v>
      </c>
    </row>
    <row r="297" spans="1:11" ht="18" customHeight="1" x14ac:dyDescent="0.15">
      <c r="A297" s="10">
        <f ca="1">COUNTIF(K$8:K297,K297)-1</f>
        <v>6</v>
      </c>
      <c r="B297" s="11" t="str">
        <f t="shared" ca="1" si="183"/>
        <v/>
      </c>
      <c r="C297" s="11" t="str">
        <f t="shared" ca="1" si="184"/>
        <v/>
      </c>
      <c r="D297" s="12" t="str">
        <f t="shared" ca="1" si="185"/>
        <v/>
      </c>
      <c r="E297" s="11" t="str">
        <f t="shared" ca="1" si="186"/>
        <v/>
      </c>
      <c r="F297" s="13" t="str">
        <f t="shared" ca="1" si="187"/>
        <v/>
      </c>
      <c r="G297" s="14" t="str">
        <f t="shared" ca="1" si="188"/>
        <v/>
      </c>
      <c r="H297" s="15" t="str">
        <f t="shared" ca="1" si="189"/>
        <v/>
      </c>
      <c r="I297" s="19" t="str">
        <f t="shared" ca="1" si="190"/>
        <v/>
      </c>
      <c r="J297" s="20" t="str">
        <f t="shared" ca="1" si="191"/>
        <v/>
      </c>
      <c r="K297" s="17" t="str">
        <f t="shared" ca="1" si="146"/>
        <v>包10</v>
      </c>
    </row>
    <row r="298" spans="1:11" ht="18" customHeight="1" x14ac:dyDescent="0.15">
      <c r="A298" s="10">
        <f ca="1">COUNTIF(K$8:K298,K298)-1</f>
        <v>7</v>
      </c>
      <c r="B298" s="11" t="str">
        <f t="shared" ca="1" si="183"/>
        <v/>
      </c>
      <c r="C298" s="11" t="str">
        <f t="shared" ca="1" si="184"/>
        <v/>
      </c>
      <c r="D298" s="12" t="str">
        <f t="shared" ca="1" si="185"/>
        <v/>
      </c>
      <c r="E298" s="11" t="str">
        <f t="shared" ca="1" si="186"/>
        <v/>
      </c>
      <c r="F298" s="13" t="str">
        <f t="shared" ca="1" si="187"/>
        <v/>
      </c>
      <c r="G298" s="14" t="str">
        <f t="shared" ca="1" si="188"/>
        <v/>
      </c>
      <c r="H298" s="15" t="str">
        <f t="shared" ca="1" si="189"/>
        <v/>
      </c>
      <c r="I298" s="19" t="str">
        <f t="shared" ca="1" si="190"/>
        <v/>
      </c>
      <c r="J298" s="20" t="str">
        <f t="shared" ca="1" si="191"/>
        <v/>
      </c>
      <c r="K298" s="17" t="str">
        <f t="shared" ca="1" si="146"/>
        <v>包10</v>
      </c>
    </row>
    <row r="299" spans="1:11" ht="18" customHeight="1" x14ac:dyDescent="0.15">
      <c r="A299" s="10">
        <f ca="1">COUNTIF(K$8:K299,K299)-1</f>
        <v>8</v>
      </c>
      <c r="B299" s="11" t="str">
        <f t="shared" ca="1" si="183"/>
        <v/>
      </c>
      <c r="C299" s="11" t="str">
        <f t="shared" ca="1" si="184"/>
        <v/>
      </c>
      <c r="D299" s="12" t="str">
        <f t="shared" ca="1" si="185"/>
        <v/>
      </c>
      <c r="E299" s="11" t="str">
        <f t="shared" ca="1" si="186"/>
        <v/>
      </c>
      <c r="F299" s="13" t="str">
        <f t="shared" ca="1" si="187"/>
        <v/>
      </c>
      <c r="G299" s="14" t="str">
        <f t="shared" ca="1" si="188"/>
        <v/>
      </c>
      <c r="H299" s="15" t="str">
        <f t="shared" ca="1" si="189"/>
        <v/>
      </c>
      <c r="I299" s="19" t="str">
        <f t="shared" ca="1" si="190"/>
        <v/>
      </c>
      <c r="J299" s="20" t="str">
        <f t="shared" ca="1" si="191"/>
        <v/>
      </c>
      <c r="K299" s="17" t="str">
        <f t="shared" ca="1" si="146"/>
        <v>包10</v>
      </c>
    </row>
    <row r="300" spans="1:11" ht="18" customHeight="1" x14ac:dyDescent="0.15">
      <c r="A300" s="10">
        <f ca="1">COUNTIF(K$8:K300,K300)-1</f>
        <v>9</v>
      </c>
      <c r="B300" s="11" t="str">
        <f t="shared" ca="1" si="183"/>
        <v/>
      </c>
      <c r="C300" s="11" t="str">
        <f t="shared" ca="1" si="184"/>
        <v/>
      </c>
      <c r="D300" s="12" t="str">
        <f t="shared" ca="1" si="185"/>
        <v/>
      </c>
      <c r="E300" s="11" t="str">
        <f t="shared" ca="1" si="186"/>
        <v/>
      </c>
      <c r="F300" s="13" t="str">
        <f t="shared" ca="1" si="187"/>
        <v/>
      </c>
      <c r="G300" s="14" t="str">
        <f t="shared" ca="1" si="188"/>
        <v/>
      </c>
      <c r="H300" s="15" t="str">
        <f t="shared" ca="1" si="189"/>
        <v/>
      </c>
      <c r="I300" s="19" t="str">
        <f t="shared" ca="1" si="190"/>
        <v/>
      </c>
      <c r="J300" s="20" t="str">
        <f t="shared" ca="1" si="191"/>
        <v/>
      </c>
      <c r="K300" s="17" t="str">
        <f t="shared" ca="1" si="146"/>
        <v>包10</v>
      </c>
    </row>
    <row r="301" spans="1:11" ht="18" customHeight="1" x14ac:dyDescent="0.15">
      <c r="A301" s="10">
        <f ca="1">COUNTIF(K$8:K301,K301)-1</f>
        <v>10</v>
      </c>
      <c r="B301" s="11" t="str">
        <f t="shared" ca="1" si="183"/>
        <v/>
      </c>
      <c r="C301" s="11" t="str">
        <f t="shared" ca="1" si="184"/>
        <v/>
      </c>
      <c r="D301" s="12" t="str">
        <f t="shared" ca="1" si="185"/>
        <v/>
      </c>
      <c r="E301" s="11" t="str">
        <f t="shared" ca="1" si="186"/>
        <v/>
      </c>
      <c r="F301" s="13" t="str">
        <f t="shared" ca="1" si="187"/>
        <v/>
      </c>
      <c r="G301" s="14" t="str">
        <f t="shared" ca="1" si="188"/>
        <v/>
      </c>
      <c r="H301" s="15" t="str">
        <f t="shared" ca="1" si="189"/>
        <v/>
      </c>
      <c r="I301" s="19" t="str">
        <f t="shared" ca="1" si="190"/>
        <v/>
      </c>
      <c r="J301" s="20" t="str">
        <f t="shared" ca="1" si="191"/>
        <v/>
      </c>
      <c r="K301" s="17" t="str">
        <f t="shared" ca="1" si="146"/>
        <v>包10</v>
      </c>
    </row>
    <row r="302" spans="1:11" ht="18" customHeight="1" x14ac:dyDescent="0.15">
      <c r="A302" s="10">
        <f ca="1">COUNTIF(K$8:K302,K302)-1</f>
        <v>11</v>
      </c>
      <c r="B302" s="11" t="str">
        <f t="shared" ref="B302:B309" ca="1" si="192">IFERROR(VLOOKUP(A302,INDIRECT("'"&amp;K302&amp;"'!A:I"),3,FALSE),"")</f>
        <v/>
      </c>
      <c r="C302" s="11" t="str">
        <f t="shared" ref="C302:C309" ca="1" si="193">IFERROR(VLOOKUP(A302,INDIRECT("'"&amp;K302&amp;"'!A:I"),4,FALSE),"")</f>
        <v/>
      </c>
      <c r="D302" s="12" t="str">
        <f t="shared" ref="D302:D309" ca="1" si="194">IFERROR(VLOOKUP(A302,INDIRECT("'"&amp;K302&amp;"'!A:I"),5,FALSE),"")</f>
        <v/>
      </c>
      <c r="E302" s="11" t="str">
        <f t="shared" ref="E302:E309" ca="1" si="195">IF(B302="","",IF(VLOOKUP(A302,INDIRECT("'"&amp;K302&amp;"'!A:I"),6,FALSE)="","",IFERROR(VLOOKUP(A302,INDIRECT("'"&amp;K302&amp;"'!A:I"),6,FALSE),"")))</f>
        <v/>
      </c>
      <c r="F302" s="13" t="str">
        <f t="shared" ref="F302:F309" ca="1" si="196">IFERROR(VLOOKUP(A302,INDIRECT("'"&amp;K302&amp;"'!A:I"),7,FALSE),"")</f>
        <v/>
      </c>
      <c r="G302" s="14" t="str">
        <f t="shared" ref="G302:G309" ca="1" si="197">IFERROR(VLOOKUP(A302,INDIRECT("'"&amp;K302&amp;"'!A:I"),8,FALSE),"")</f>
        <v/>
      </c>
      <c r="H302" s="15" t="str">
        <f t="shared" ref="H302:H309" ca="1" si="198">IFERROR(VLOOKUP(A302,INDIRECT("'"&amp;K302&amp;"'!A:I"),9,FALSE),"")</f>
        <v/>
      </c>
      <c r="I302" s="19" t="str">
        <f t="shared" ref="I302:I309" ca="1" si="199">IFERROR(G302*H302,"")</f>
        <v/>
      </c>
      <c r="J302" s="20" t="str">
        <f t="shared" ref="J302:J309" ca="1" si="200">IF(B302="","",IF(VLOOKUP(A302,INDIRECT("'"&amp;K302&amp;"'!A:L"),11,FALSE)="","",IFERROR(VLOOKUP(A302,INDIRECT("'"&amp;K302&amp;"'!A:L"),11,FALSE),"")))</f>
        <v/>
      </c>
      <c r="K302" s="17" t="str">
        <f t="shared" ca="1" si="146"/>
        <v>包10</v>
      </c>
    </row>
    <row r="303" spans="1:11" ht="18" customHeight="1" x14ac:dyDescent="0.15">
      <c r="A303" s="10">
        <f ca="1">COUNTIF(K$8:K303,K303)-1</f>
        <v>12</v>
      </c>
      <c r="B303" s="11" t="str">
        <f t="shared" ca="1" si="192"/>
        <v/>
      </c>
      <c r="C303" s="11" t="str">
        <f t="shared" ca="1" si="193"/>
        <v/>
      </c>
      <c r="D303" s="12" t="str">
        <f t="shared" ca="1" si="194"/>
        <v/>
      </c>
      <c r="E303" s="11" t="str">
        <f t="shared" ca="1" si="195"/>
        <v/>
      </c>
      <c r="F303" s="13" t="str">
        <f t="shared" ca="1" si="196"/>
        <v/>
      </c>
      <c r="G303" s="14" t="str">
        <f t="shared" ca="1" si="197"/>
        <v/>
      </c>
      <c r="H303" s="15" t="str">
        <f t="shared" ca="1" si="198"/>
        <v/>
      </c>
      <c r="I303" s="19" t="str">
        <f t="shared" ca="1" si="199"/>
        <v/>
      </c>
      <c r="J303" s="20" t="str">
        <f t="shared" ca="1" si="200"/>
        <v/>
      </c>
      <c r="K303" s="17" t="str">
        <f t="shared" ca="1" si="146"/>
        <v>包10</v>
      </c>
    </row>
    <row r="304" spans="1:11" ht="18" customHeight="1" x14ac:dyDescent="0.15">
      <c r="A304" s="10">
        <f ca="1">COUNTIF(K$8:K304,K304)-1</f>
        <v>13</v>
      </c>
      <c r="B304" s="11" t="str">
        <f t="shared" ca="1" si="192"/>
        <v/>
      </c>
      <c r="C304" s="11" t="str">
        <f t="shared" ca="1" si="193"/>
        <v/>
      </c>
      <c r="D304" s="12" t="str">
        <f t="shared" ca="1" si="194"/>
        <v/>
      </c>
      <c r="E304" s="11" t="str">
        <f t="shared" ca="1" si="195"/>
        <v/>
      </c>
      <c r="F304" s="13" t="str">
        <f t="shared" ca="1" si="196"/>
        <v/>
      </c>
      <c r="G304" s="14" t="str">
        <f t="shared" ca="1" si="197"/>
        <v/>
      </c>
      <c r="H304" s="15" t="str">
        <f t="shared" ca="1" si="198"/>
        <v/>
      </c>
      <c r="I304" s="19" t="str">
        <f t="shared" ca="1" si="199"/>
        <v/>
      </c>
      <c r="J304" s="20" t="str">
        <f t="shared" ca="1" si="200"/>
        <v/>
      </c>
      <c r="K304" s="17" t="str">
        <f t="shared" ca="1" si="146"/>
        <v>包10</v>
      </c>
    </row>
    <row r="305" spans="1:11" ht="18" customHeight="1" x14ac:dyDescent="0.15">
      <c r="A305" s="10">
        <f ca="1">COUNTIF(K$8:K305,K305)-1</f>
        <v>14</v>
      </c>
      <c r="B305" s="11" t="str">
        <f t="shared" ca="1" si="192"/>
        <v/>
      </c>
      <c r="C305" s="11" t="str">
        <f t="shared" ca="1" si="193"/>
        <v/>
      </c>
      <c r="D305" s="12" t="str">
        <f t="shared" ca="1" si="194"/>
        <v/>
      </c>
      <c r="E305" s="11" t="str">
        <f t="shared" ca="1" si="195"/>
        <v/>
      </c>
      <c r="F305" s="13" t="str">
        <f t="shared" ca="1" si="196"/>
        <v/>
      </c>
      <c r="G305" s="14" t="str">
        <f t="shared" ca="1" si="197"/>
        <v/>
      </c>
      <c r="H305" s="15" t="str">
        <f t="shared" ca="1" si="198"/>
        <v/>
      </c>
      <c r="I305" s="19" t="str">
        <f t="shared" ca="1" si="199"/>
        <v/>
      </c>
      <c r="J305" s="20" t="str">
        <f t="shared" ca="1" si="200"/>
        <v/>
      </c>
      <c r="K305" s="17" t="str">
        <f t="shared" ca="1" si="146"/>
        <v>包10</v>
      </c>
    </row>
    <row r="306" spans="1:11" ht="18" customHeight="1" x14ac:dyDescent="0.15">
      <c r="A306" s="10">
        <f ca="1">COUNTIF(K$8:K306,K306)-1</f>
        <v>15</v>
      </c>
      <c r="B306" s="11" t="str">
        <f t="shared" ca="1" si="192"/>
        <v/>
      </c>
      <c r="C306" s="11" t="str">
        <f t="shared" ca="1" si="193"/>
        <v/>
      </c>
      <c r="D306" s="12" t="str">
        <f t="shared" ca="1" si="194"/>
        <v/>
      </c>
      <c r="E306" s="11" t="str">
        <f t="shared" ca="1" si="195"/>
        <v/>
      </c>
      <c r="F306" s="13" t="str">
        <f t="shared" ca="1" si="196"/>
        <v/>
      </c>
      <c r="G306" s="14" t="str">
        <f t="shared" ca="1" si="197"/>
        <v/>
      </c>
      <c r="H306" s="15" t="str">
        <f t="shared" ca="1" si="198"/>
        <v/>
      </c>
      <c r="I306" s="19" t="str">
        <f t="shared" ca="1" si="199"/>
        <v/>
      </c>
      <c r="J306" s="20" t="str">
        <f t="shared" ca="1" si="200"/>
        <v/>
      </c>
      <c r="K306" s="17" t="str">
        <f t="shared" ca="1" si="146"/>
        <v>包10</v>
      </c>
    </row>
    <row r="307" spans="1:11" ht="18" customHeight="1" x14ac:dyDescent="0.15">
      <c r="A307" s="10">
        <f ca="1">COUNTIF(K$8:K307,K307)-1</f>
        <v>16</v>
      </c>
      <c r="B307" s="11" t="str">
        <f t="shared" ca="1" si="192"/>
        <v/>
      </c>
      <c r="C307" s="11" t="str">
        <f t="shared" ca="1" si="193"/>
        <v/>
      </c>
      <c r="D307" s="12" t="str">
        <f t="shared" ca="1" si="194"/>
        <v/>
      </c>
      <c r="E307" s="11" t="str">
        <f t="shared" ca="1" si="195"/>
        <v/>
      </c>
      <c r="F307" s="13" t="str">
        <f t="shared" ca="1" si="196"/>
        <v/>
      </c>
      <c r="G307" s="14" t="str">
        <f t="shared" ca="1" si="197"/>
        <v/>
      </c>
      <c r="H307" s="15" t="str">
        <f t="shared" ca="1" si="198"/>
        <v/>
      </c>
      <c r="I307" s="19" t="str">
        <f t="shared" ca="1" si="199"/>
        <v/>
      </c>
      <c r="J307" s="20" t="str">
        <f t="shared" ca="1" si="200"/>
        <v/>
      </c>
      <c r="K307" s="17" t="str">
        <f t="shared" ca="1" si="146"/>
        <v>包10</v>
      </c>
    </row>
    <row r="308" spans="1:11" ht="18" customHeight="1" x14ac:dyDescent="0.15">
      <c r="A308" s="10">
        <f ca="1">COUNTIF(K$8:K308,K308)-1</f>
        <v>17</v>
      </c>
      <c r="B308" s="11" t="str">
        <f t="shared" ca="1" si="192"/>
        <v/>
      </c>
      <c r="C308" s="11" t="str">
        <f t="shared" ca="1" si="193"/>
        <v/>
      </c>
      <c r="D308" s="12" t="str">
        <f t="shared" ca="1" si="194"/>
        <v/>
      </c>
      <c r="E308" s="11" t="str">
        <f t="shared" ca="1" si="195"/>
        <v/>
      </c>
      <c r="F308" s="13" t="str">
        <f t="shared" ca="1" si="196"/>
        <v/>
      </c>
      <c r="G308" s="14" t="str">
        <f t="shared" ca="1" si="197"/>
        <v/>
      </c>
      <c r="H308" s="15" t="str">
        <f t="shared" ca="1" si="198"/>
        <v/>
      </c>
      <c r="I308" s="19" t="str">
        <f t="shared" ca="1" si="199"/>
        <v/>
      </c>
      <c r="J308" s="20" t="str">
        <f t="shared" ca="1" si="200"/>
        <v/>
      </c>
      <c r="K308" s="17" t="str">
        <f t="shared" ca="1" si="146"/>
        <v>包10</v>
      </c>
    </row>
    <row r="309" spans="1:11" ht="18" customHeight="1" x14ac:dyDescent="0.15">
      <c r="A309" s="10">
        <f ca="1">COUNTIF(K$8:K309,K309)-1</f>
        <v>18</v>
      </c>
      <c r="B309" s="11" t="str">
        <f t="shared" ca="1" si="192"/>
        <v/>
      </c>
      <c r="C309" s="11" t="str">
        <f t="shared" ca="1" si="193"/>
        <v/>
      </c>
      <c r="D309" s="12" t="str">
        <f t="shared" ca="1" si="194"/>
        <v/>
      </c>
      <c r="E309" s="11" t="str">
        <f t="shared" ca="1" si="195"/>
        <v/>
      </c>
      <c r="F309" s="13" t="str">
        <f t="shared" ca="1" si="196"/>
        <v/>
      </c>
      <c r="G309" s="14" t="str">
        <f t="shared" ca="1" si="197"/>
        <v/>
      </c>
      <c r="H309" s="15" t="str">
        <f t="shared" ca="1" si="198"/>
        <v/>
      </c>
      <c r="I309" s="19" t="str">
        <f t="shared" ca="1" si="199"/>
        <v/>
      </c>
      <c r="J309" s="20" t="str">
        <f t="shared" ca="1" si="200"/>
        <v/>
      </c>
      <c r="K309" s="17" t="str">
        <f t="shared" ca="1" si="146"/>
        <v>包10</v>
      </c>
    </row>
    <row r="310" spans="1:11" ht="11.1" customHeight="1" x14ac:dyDescent="0.15">
      <c r="A310" s="472"/>
      <c r="B310" s="473"/>
      <c r="C310" s="473"/>
      <c r="D310" s="473"/>
      <c r="E310" s="473"/>
      <c r="F310" s="473"/>
      <c r="G310" s="473"/>
      <c r="H310" s="473"/>
      <c r="I310" s="473"/>
      <c r="J310" s="474"/>
      <c r="K310" s="17" t="str">
        <f t="shared" ca="1" si="146"/>
        <v>包10</v>
      </c>
    </row>
    <row r="311" spans="1:11" ht="21" customHeight="1" x14ac:dyDescent="0.15">
      <c r="A311" s="475" t="str">
        <f ca="1">K311&amp;"合计："</f>
        <v>包10合计：</v>
      </c>
      <c r="B311" s="476"/>
      <c r="C311" s="476"/>
      <c r="D311" s="476"/>
      <c r="E311" s="477"/>
      <c r="F311" s="478" t="str">
        <f ca="1">SUM(G291:G310)&amp;"台"</f>
        <v>0台</v>
      </c>
      <c r="G311" s="479"/>
      <c r="H311" s="465">
        <f ca="1">SUM(I291:I310)</f>
        <v>0</v>
      </c>
      <c r="I311" s="465"/>
      <c r="J311" s="465"/>
      <c r="K311" s="17" t="str">
        <f t="shared" ca="1" si="146"/>
        <v>包10</v>
      </c>
    </row>
    <row r="312" spans="1:11" ht="11.1" customHeight="1" x14ac:dyDescent="0.15">
      <c r="A312" s="480"/>
      <c r="B312" s="481"/>
      <c r="C312" s="481"/>
      <c r="D312" s="481"/>
      <c r="E312" s="481"/>
      <c r="F312" s="481"/>
      <c r="G312" s="481"/>
      <c r="H312" s="481"/>
      <c r="I312" s="481"/>
      <c r="J312" s="482"/>
      <c r="K312" s="17"/>
    </row>
    <row r="313" spans="1:11" ht="18" customHeight="1" x14ac:dyDescent="0.15">
      <c r="A313" s="475" t="s">
        <v>244</v>
      </c>
      <c r="B313" s="476"/>
      <c r="C313" s="476"/>
      <c r="D313" s="477"/>
      <c r="E313" s="478" t="str">
        <f ca="1">SUM(G7:G312)&amp;"台/套"</f>
        <v>25台/套</v>
      </c>
      <c r="F313" s="498"/>
      <c r="G313" s="479"/>
      <c r="H313" s="499">
        <f ca="1">SUM(I7:I312)</f>
        <v>67.846760000000003</v>
      </c>
      <c r="I313" s="500"/>
      <c r="J313" s="501"/>
      <c r="K313" s="17"/>
    </row>
    <row r="314" spans="1:11" ht="18" customHeight="1" x14ac:dyDescent="0.15">
      <c r="A314" s="475" t="s">
        <v>245</v>
      </c>
      <c r="B314" s="476"/>
      <c r="C314" s="476"/>
      <c r="D314" s="477"/>
      <c r="E314" s="483" t="str">
        <f ca="1">SUBSTITUTE(SUBSTITUTE(IF(H313*10000&gt;-0.5%,,"负")&amp;TEXT(INT(FIXED(ABS(H313*10000))),"[dbnum2]G/通用格式元;;")&amp;TEXT(RIGHT(FIXED(H313*10000),2),"[dbnum2]0角0分;;"&amp;IF(ABS(H313*10000)&gt;1%,"整",)),"零角",IF(ABS(H313*10000)&lt;1,,"零")),"零分","整")</f>
        <v>陆拾柒万捌仟肆佰陆拾柒元陆角整</v>
      </c>
      <c r="F314" s="484"/>
      <c r="G314" s="484"/>
      <c r="H314" s="484"/>
      <c r="I314" s="484"/>
      <c r="J314" s="485"/>
      <c r="K314" s="17"/>
    </row>
    <row r="315" spans="1:11" s="2" customFormat="1" ht="16.5" customHeight="1" x14ac:dyDescent="0.2">
      <c r="A315" s="486" t="s">
        <v>246</v>
      </c>
      <c r="B315" s="489"/>
      <c r="C315" s="490"/>
      <c r="D315" s="490"/>
      <c r="E315" s="490"/>
      <c r="F315" s="490"/>
      <c r="G315" s="490"/>
      <c r="H315" s="490"/>
      <c r="I315" s="490"/>
      <c r="J315" s="491"/>
      <c r="K315" s="21"/>
    </row>
    <row r="316" spans="1:11" s="2" customFormat="1" ht="16.5" customHeight="1" x14ac:dyDescent="0.2">
      <c r="A316" s="487"/>
      <c r="B316" s="492"/>
      <c r="C316" s="493"/>
      <c r="D316" s="493"/>
      <c r="E316" s="493"/>
      <c r="F316" s="493"/>
      <c r="G316" s="493"/>
      <c r="H316" s="493"/>
      <c r="I316" s="493"/>
      <c r="J316" s="494"/>
      <c r="K316" s="21"/>
    </row>
    <row r="317" spans="1:11" s="2" customFormat="1" ht="16.5" customHeight="1" x14ac:dyDescent="0.2">
      <c r="A317" s="487"/>
      <c r="B317" s="492"/>
      <c r="C317" s="493"/>
      <c r="D317" s="493"/>
      <c r="E317" s="493"/>
      <c r="F317" s="493"/>
      <c r="G317" s="493"/>
      <c r="H317" s="493"/>
      <c r="I317" s="493"/>
      <c r="J317" s="494"/>
      <c r="K317" s="21"/>
    </row>
    <row r="318" spans="1:11" s="2" customFormat="1" ht="16.5" customHeight="1" x14ac:dyDescent="0.2">
      <c r="A318" s="487"/>
      <c r="B318" s="492"/>
      <c r="C318" s="493"/>
      <c r="D318" s="493"/>
      <c r="E318" s="493"/>
      <c r="F318" s="493"/>
      <c r="G318" s="493"/>
      <c r="H318" s="493"/>
      <c r="I318" s="493"/>
      <c r="J318" s="494"/>
      <c r="K318" s="21"/>
    </row>
    <row r="319" spans="1:11" s="2" customFormat="1" ht="16.5" customHeight="1" x14ac:dyDescent="0.2">
      <c r="A319" s="488"/>
      <c r="B319" s="495"/>
      <c r="C319" s="496"/>
      <c r="D319" s="496"/>
      <c r="E319" s="496"/>
      <c r="F319" s="496"/>
      <c r="G319" s="496"/>
      <c r="H319" s="496"/>
      <c r="I319" s="496"/>
      <c r="J319" s="497"/>
      <c r="K319" s="21"/>
    </row>
    <row r="320" spans="1:11" s="214" customFormat="1" ht="18.95" customHeight="1" x14ac:dyDescent="0.2">
      <c r="A320" s="420" t="s">
        <v>247</v>
      </c>
      <c r="B320" s="420"/>
      <c r="C320" s="420"/>
      <c r="D320" s="421" t="s">
        <v>3247</v>
      </c>
      <c r="E320" s="421"/>
      <c r="F320" s="421"/>
      <c r="G320" s="421"/>
      <c r="H320" s="421"/>
      <c r="I320" s="421"/>
      <c r="J320" s="332"/>
      <c r="K320" s="333"/>
    </row>
    <row r="321" spans="1:23" s="214" customFormat="1" ht="18.95" customHeight="1" x14ac:dyDescent="0.2">
      <c r="A321" s="419" t="s">
        <v>3254</v>
      </c>
      <c r="B321" s="419"/>
      <c r="C321" s="419"/>
      <c r="D321" s="419" t="s">
        <v>3255</v>
      </c>
      <c r="E321" s="419"/>
      <c r="F321" s="419"/>
      <c r="G321" s="419" t="s">
        <v>3256</v>
      </c>
      <c r="H321" s="419"/>
      <c r="I321" s="419"/>
      <c r="J321" s="332"/>
      <c r="K321" s="333"/>
    </row>
    <row r="322" spans="1:23" s="214" customFormat="1" ht="18.95" customHeight="1" x14ac:dyDescent="0.2">
      <c r="A322" s="423" t="s">
        <v>3257</v>
      </c>
      <c r="B322" s="423"/>
      <c r="C322" s="423"/>
      <c r="D322" s="423" t="s">
        <v>3258</v>
      </c>
      <c r="E322" s="423"/>
      <c r="F322" s="423"/>
      <c r="G322" s="422" t="s">
        <v>3259</v>
      </c>
      <c r="H322" s="422"/>
      <c r="I322" s="422"/>
      <c r="J322" s="332"/>
      <c r="K322" s="333"/>
    </row>
    <row r="323" spans="1:23" s="214" customFormat="1" ht="21.75" customHeight="1" x14ac:dyDescent="0.2">
      <c r="A323" s="417" t="s">
        <v>3260</v>
      </c>
      <c r="B323" s="418"/>
      <c r="C323" s="418"/>
      <c r="D323" s="418"/>
      <c r="E323" s="418"/>
      <c r="F323" s="418"/>
      <c r="G323" s="418"/>
      <c r="H323" s="418"/>
      <c r="I323" s="418"/>
      <c r="J323" s="332"/>
      <c r="K323" s="333"/>
    </row>
    <row r="324" spans="1:23" ht="18" customHeight="1" x14ac:dyDescent="0.15"/>
    <row r="325" spans="1:23" s="23" customFormat="1" ht="21.95" customHeight="1" x14ac:dyDescent="0.2">
      <c r="A325" s="83"/>
      <c r="B325" s="84"/>
      <c r="C325" s="85"/>
      <c r="D325" s="27"/>
      <c r="E325" s="27"/>
      <c r="F325" s="85"/>
      <c r="G325" s="27"/>
      <c r="H325" s="27"/>
      <c r="I325" s="467" t="s">
        <v>3253</v>
      </c>
      <c r="J325" s="467"/>
      <c r="K325" s="88"/>
      <c r="L325" s="84"/>
      <c r="M325" s="89"/>
      <c r="N325" s="89"/>
      <c r="O325" s="89"/>
      <c r="Q325" s="139"/>
      <c r="V325" s="339"/>
      <c r="W325" s="340"/>
    </row>
    <row r="326" spans="1:23" s="23" customFormat="1" ht="21.95" customHeight="1" x14ac:dyDescent="0.2">
      <c r="A326" s="83"/>
      <c r="B326" s="84"/>
      <c r="C326" s="85"/>
      <c r="D326" s="27"/>
      <c r="E326" s="27"/>
      <c r="F326" s="85"/>
      <c r="G326" s="27"/>
      <c r="H326" s="27"/>
      <c r="I326" s="467" t="s">
        <v>2626</v>
      </c>
      <c r="J326" s="467"/>
      <c r="K326" s="88"/>
      <c r="L326" s="84"/>
      <c r="M326" s="89"/>
      <c r="N326" s="89"/>
      <c r="O326" s="89"/>
      <c r="Q326" s="139"/>
      <c r="V326" s="339"/>
      <c r="W326" s="340"/>
    </row>
    <row r="327" spans="1:23" s="23" customFormat="1" ht="21.95" customHeight="1" x14ac:dyDescent="0.2">
      <c r="A327" s="83"/>
      <c r="B327" s="84"/>
      <c r="C327" s="85"/>
      <c r="D327" s="27"/>
      <c r="E327" s="27"/>
      <c r="F327" s="85"/>
      <c r="G327" s="27"/>
      <c r="H327" s="27"/>
      <c r="I327" s="468">
        <f>H3</f>
        <v>43444</v>
      </c>
      <c r="J327" s="468"/>
      <c r="K327" s="88"/>
      <c r="L327" s="84"/>
      <c r="M327" s="89"/>
      <c r="N327" s="89"/>
      <c r="O327" s="89"/>
      <c r="Q327" s="139"/>
      <c r="V327" s="339"/>
      <c r="W327" s="340"/>
    </row>
    <row r="328" spans="1:23" ht="18" customHeight="1" x14ac:dyDescent="0.15"/>
    <row r="329" spans="1:23" ht="18" customHeight="1" x14ac:dyDescent="0.15"/>
    <row r="330" spans="1:23" ht="18" customHeight="1" x14ac:dyDescent="0.15"/>
  </sheetData>
  <mergeCells count="85">
    <mergeCell ref="I325:J325"/>
    <mergeCell ref="I326:J326"/>
    <mergeCell ref="I327:J327"/>
    <mergeCell ref="A323:I323"/>
    <mergeCell ref="L4:N4"/>
    <mergeCell ref="A5:C5"/>
    <mergeCell ref="F5:G5"/>
    <mergeCell ref="H5:J5"/>
    <mergeCell ref="A6:J6"/>
    <mergeCell ref="A8:B8"/>
    <mergeCell ref="A34:J34"/>
    <mergeCell ref="A35:E35"/>
    <mergeCell ref="F35:G35"/>
    <mergeCell ref="H35:J35"/>
    <mergeCell ref="A36:B36"/>
    <mergeCell ref="A49:J49"/>
    <mergeCell ref="A1:J1"/>
    <mergeCell ref="A2:C2"/>
    <mergeCell ref="F2:G2"/>
    <mergeCell ref="H2:J2"/>
    <mergeCell ref="A3:C3"/>
    <mergeCell ref="F3:G3"/>
    <mergeCell ref="H3:J3"/>
    <mergeCell ref="A4:C4"/>
    <mergeCell ref="F4:G4"/>
    <mergeCell ref="H4:J4"/>
    <mergeCell ref="A50:E50"/>
    <mergeCell ref="F50:G50"/>
    <mergeCell ref="H50:J50"/>
    <mergeCell ref="A51:B51"/>
    <mergeCell ref="A64:J64"/>
    <mergeCell ref="A65:E65"/>
    <mergeCell ref="F65:G65"/>
    <mergeCell ref="H65:J65"/>
    <mergeCell ref="A66:B66"/>
    <mergeCell ref="A119:J119"/>
    <mergeCell ref="A120:E120"/>
    <mergeCell ref="F120:G120"/>
    <mergeCell ref="H120:J120"/>
    <mergeCell ref="A121:B121"/>
    <mergeCell ref="A174:J174"/>
    <mergeCell ref="A175:E175"/>
    <mergeCell ref="F175:G175"/>
    <mergeCell ref="H175:J175"/>
    <mergeCell ref="A176:B176"/>
    <mergeCell ref="A229:J229"/>
    <mergeCell ref="A230:E230"/>
    <mergeCell ref="F230:G230"/>
    <mergeCell ref="H230:J230"/>
    <mergeCell ref="A231:B231"/>
    <mergeCell ref="A247:J247"/>
    <mergeCell ref="A248:E248"/>
    <mergeCell ref="F248:G248"/>
    <mergeCell ref="H248:J248"/>
    <mergeCell ref="A249:B249"/>
    <mergeCell ref="A268:J268"/>
    <mergeCell ref="A269:E269"/>
    <mergeCell ref="F269:G269"/>
    <mergeCell ref="H269:J269"/>
    <mergeCell ref="A270:B270"/>
    <mergeCell ref="A289:J289"/>
    <mergeCell ref="A290:E290"/>
    <mergeCell ref="F290:G290"/>
    <mergeCell ref="H290:J290"/>
    <mergeCell ref="A291:B291"/>
    <mergeCell ref="A310:J310"/>
    <mergeCell ref="A311:E311"/>
    <mergeCell ref="F311:G311"/>
    <mergeCell ref="H311:J311"/>
    <mergeCell ref="A312:J312"/>
    <mergeCell ref="A313:D313"/>
    <mergeCell ref="E313:G313"/>
    <mergeCell ref="H313:J313"/>
    <mergeCell ref="A321:C321"/>
    <mergeCell ref="D321:F321"/>
    <mergeCell ref="G321:I321"/>
    <mergeCell ref="A322:C322"/>
    <mergeCell ref="A314:D314"/>
    <mergeCell ref="E314:J314"/>
    <mergeCell ref="A315:A319"/>
    <mergeCell ref="B315:J319"/>
    <mergeCell ref="A320:C320"/>
    <mergeCell ref="D320:I320"/>
    <mergeCell ref="D322:F322"/>
    <mergeCell ref="G322:I322"/>
  </mergeCells>
  <phoneticPr fontId="25" type="noConversion"/>
  <hyperlinks>
    <hyperlink ref="A323" r:id="rId1"/>
  </hyperlinks>
  <pageMargins left="0.69930555555555596" right="0.69930555555555596" top="0.75" bottom="0.75" header="0.3" footer="0.3"/>
  <pageSetup paperSize="9" orientation="portrait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R3333"/>
  <sheetViews>
    <sheetView showZeros="0" tabSelected="1" workbookViewId="0">
      <pane ySplit="1" topLeftCell="A77" activePane="bottomLeft" state="frozen"/>
      <selection pane="bottomLeft" activeCell="B86" sqref="B86"/>
    </sheetView>
  </sheetViews>
  <sheetFormatPr defaultColWidth="9" defaultRowHeight="14.25" x14ac:dyDescent="0.2"/>
  <cols>
    <col min="1" max="1" width="19.625" style="252" customWidth="1"/>
    <col min="2" max="2" width="40.875" style="250" customWidth="1"/>
    <col min="3" max="3" width="12.125" style="250" customWidth="1"/>
    <col min="4" max="4" width="15.625" style="250" customWidth="1"/>
    <col min="5" max="9" width="4.625" style="250" hidden="1" customWidth="1"/>
    <col min="10" max="10" width="6" style="250" hidden="1" customWidth="1"/>
    <col min="11" max="11" width="4.625" style="250" customWidth="1"/>
    <col min="12" max="12" width="12.625" style="250" customWidth="1"/>
    <col min="13" max="14" width="9" style="250"/>
    <col min="15" max="15" width="10" style="250" customWidth="1"/>
    <col min="16" max="17" width="9" style="250"/>
    <col min="18" max="18" width="9" style="389"/>
    <col min="19" max="16384" width="9" style="250"/>
  </cols>
  <sheetData>
    <row r="1" spans="1:15" ht="16.5" customHeight="1" x14ac:dyDescent="0.2">
      <c r="A1" s="248" t="s">
        <v>3875</v>
      </c>
      <c r="B1" s="249" t="s">
        <v>4069</v>
      </c>
      <c r="C1" s="250" t="s">
        <v>3396</v>
      </c>
      <c r="D1" s="250" t="s">
        <v>4070</v>
      </c>
      <c r="K1" s="250" t="s">
        <v>4071</v>
      </c>
      <c r="L1" s="250" t="s">
        <v>4072</v>
      </c>
      <c r="N1" s="251" t="s">
        <v>3876</v>
      </c>
      <c r="O1" s="251">
        <v>57</v>
      </c>
    </row>
    <row r="2" spans="1:15" ht="15" customHeight="1" x14ac:dyDescent="0.2">
      <c r="B2" s="250" t="s">
        <v>3606</v>
      </c>
      <c r="C2" s="250" t="s">
        <v>4073</v>
      </c>
      <c r="D2" s="250" t="s">
        <v>4074</v>
      </c>
      <c r="K2" s="250">
        <v>0.55000000000000004</v>
      </c>
      <c r="L2" s="250">
        <v>400</v>
      </c>
    </row>
    <row r="3" spans="1:15" ht="15" customHeight="1" x14ac:dyDescent="0.2">
      <c r="B3" s="250" t="s">
        <v>3607</v>
      </c>
      <c r="C3" s="250" t="s">
        <v>3883</v>
      </c>
      <c r="D3" s="250" t="s">
        <v>3877</v>
      </c>
      <c r="K3" s="250">
        <v>0.55000000000000004</v>
      </c>
      <c r="L3" s="250">
        <v>498</v>
      </c>
    </row>
    <row r="4" spans="1:15" ht="15" customHeight="1" x14ac:dyDescent="0.2">
      <c r="B4" s="250" t="s">
        <v>3608</v>
      </c>
      <c r="C4" s="250" t="s">
        <v>4073</v>
      </c>
      <c r="D4" s="250" t="s">
        <v>3877</v>
      </c>
      <c r="K4" s="250">
        <v>0.55000000000000004</v>
      </c>
      <c r="L4" s="250">
        <v>704</v>
      </c>
    </row>
    <row r="5" spans="1:15" ht="15" customHeight="1" x14ac:dyDescent="0.2">
      <c r="B5" s="250" t="s">
        <v>3609</v>
      </c>
      <c r="C5" s="250" t="s">
        <v>3883</v>
      </c>
      <c r="D5" s="250" t="s">
        <v>4074</v>
      </c>
      <c r="K5" s="250">
        <v>0.55000000000000004</v>
      </c>
      <c r="L5" s="250">
        <v>1680</v>
      </c>
    </row>
    <row r="6" spans="1:15" ht="15" customHeight="1" x14ac:dyDescent="0.2">
      <c r="B6" s="250" t="s">
        <v>3663</v>
      </c>
      <c r="C6" s="250" t="s">
        <v>3883</v>
      </c>
      <c r="D6" s="250" t="s">
        <v>337</v>
      </c>
      <c r="K6" s="250">
        <v>0.55000000000000004</v>
      </c>
      <c r="L6" s="250">
        <v>90</v>
      </c>
    </row>
    <row r="7" spans="1:15" ht="15" customHeight="1" x14ac:dyDescent="0.2">
      <c r="B7" s="250" t="s">
        <v>3664</v>
      </c>
      <c r="C7" s="250" t="s">
        <v>3883</v>
      </c>
      <c r="D7" s="250" t="s">
        <v>337</v>
      </c>
      <c r="K7" s="250">
        <v>0.55000000000000004</v>
      </c>
      <c r="L7" s="250">
        <v>130</v>
      </c>
    </row>
    <row r="8" spans="1:15" ht="15" customHeight="1" x14ac:dyDescent="0.2">
      <c r="B8" s="250" t="s">
        <v>3665</v>
      </c>
      <c r="C8" s="250" t="s">
        <v>3883</v>
      </c>
      <c r="D8" s="250" t="s">
        <v>337</v>
      </c>
      <c r="K8" s="250">
        <v>0.55000000000000004</v>
      </c>
      <c r="L8" s="250">
        <v>270</v>
      </c>
    </row>
    <row r="9" spans="1:15" ht="15" customHeight="1" x14ac:dyDescent="0.2">
      <c r="B9" s="250" t="s">
        <v>3666</v>
      </c>
      <c r="C9" s="250" t="s">
        <v>3883</v>
      </c>
      <c r="D9" s="250" t="s">
        <v>337</v>
      </c>
      <c r="K9" s="250">
        <v>0.55000000000000004</v>
      </c>
      <c r="L9" s="250">
        <v>566</v>
      </c>
    </row>
    <row r="10" spans="1:15" ht="15" customHeight="1" x14ac:dyDescent="0.2">
      <c r="B10" s="250" t="s">
        <v>3667</v>
      </c>
      <c r="C10" s="250" t="s">
        <v>3883</v>
      </c>
      <c r="D10" s="250" t="s">
        <v>337</v>
      </c>
      <c r="K10" s="250">
        <v>0.55000000000000004</v>
      </c>
      <c r="L10" s="250">
        <v>1054</v>
      </c>
    </row>
    <row r="11" spans="1:15" ht="15" customHeight="1" x14ac:dyDescent="0.2">
      <c r="B11" s="250" t="s">
        <v>339</v>
      </c>
      <c r="C11" s="250" t="s">
        <v>3883</v>
      </c>
      <c r="D11" s="250" t="s">
        <v>337</v>
      </c>
      <c r="K11" s="250">
        <v>0.55000000000000004</v>
      </c>
      <c r="L11" s="250">
        <v>230</v>
      </c>
    </row>
    <row r="12" spans="1:15" ht="15" customHeight="1" x14ac:dyDescent="0.2">
      <c r="B12" s="250" t="s">
        <v>340</v>
      </c>
      <c r="C12" s="250" t="s">
        <v>3883</v>
      </c>
      <c r="D12" s="250" t="s">
        <v>337</v>
      </c>
      <c r="K12" s="250">
        <v>0.55000000000000004</v>
      </c>
      <c r="L12" s="250">
        <v>350</v>
      </c>
    </row>
    <row r="13" spans="1:15" ht="15" customHeight="1" x14ac:dyDescent="0.2">
      <c r="B13" s="250" t="s">
        <v>341</v>
      </c>
      <c r="C13" s="250" t="s">
        <v>3883</v>
      </c>
      <c r="D13" s="250" t="s">
        <v>337</v>
      </c>
      <c r="K13" s="250">
        <v>0.55000000000000004</v>
      </c>
      <c r="L13" s="250">
        <v>590</v>
      </c>
    </row>
    <row r="14" spans="1:15" ht="15" customHeight="1" x14ac:dyDescent="0.2">
      <c r="B14" s="250" t="s">
        <v>336</v>
      </c>
      <c r="C14" s="250" t="s">
        <v>4073</v>
      </c>
      <c r="D14" s="250" t="s">
        <v>337</v>
      </c>
      <c r="K14" s="250">
        <v>0.55000000000000004</v>
      </c>
      <c r="L14" s="250">
        <v>1042</v>
      </c>
    </row>
    <row r="15" spans="1:15" ht="15" customHeight="1" x14ac:dyDescent="0.2">
      <c r="B15" s="250" t="s">
        <v>338</v>
      </c>
      <c r="C15" s="250" t="s">
        <v>3883</v>
      </c>
      <c r="D15" s="250" t="s">
        <v>337</v>
      </c>
      <c r="K15" s="250">
        <v>0.55000000000000004</v>
      </c>
      <c r="L15" s="250">
        <v>1690</v>
      </c>
    </row>
    <row r="16" spans="1:15" ht="15" customHeight="1" x14ac:dyDescent="0.2">
      <c r="B16" s="250" t="s">
        <v>1907</v>
      </c>
      <c r="C16" s="250" t="s">
        <v>3883</v>
      </c>
      <c r="D16" s="250" t="s">
        <v>337</v>
      </c>
      <c r="K16" s="250">
        <v>0.55000000000000004</v>
      </c>
      <c r="L16" s="250">
        <v>2200</v>
      </c>
    </row>
    <row r="17" spans="2:16" ht="15" customHeight="1" x14ac:dyDescent="0.2">
      <c r="B17" s="250" t="s">
        <v>1908</v>
      </c>
      <c r="C17" s="250" t="s">
        <v>4073</v>
      </c>
      <c r="D17" s="250" t="s">
        <v>337</v>
      </c>
      <c r="K17" s="250">
        <v>0.55000000000000004</v>
      </c>
      <c r="L17" s="250">
        <v>3900</v>
      </c>
    </row>
    <row r="18" spans="2:16" ht="15" customHeight="1" x14ac:dyDescent="0.2">
      <c r="B18" s="250" t="s">
        <v>1909</v>
      </c>
      <c r="C18" s="250" t="s">
        <v>3883</v>
      </c>
      <c r="D18" s="250" t="s">
        <v>337</v>
      </c>
      <c r="K18" s="250">
        <v>0.55000000000000004</v>
      </c>
      <c r="L18" s="250">
        <v>4200</v>
      </c>
    </row>
    <row r="19" spans="2:16" ht="15" customHeight="1" x14ac:dyDescent="0.2">
      <c r="B19" s="250" t="s">
        <v>533</v>
      </c>
      <c r="C19" s="250" t="s">
        <v>3883</v>
      </c>
      <c r="D19" s="250" t="s">
        <v>1551</v>
      </c>
      <c r="K19" s="250">
        <v>0.55000000000000004</v>
      </c>
      <c r="L19" s="250">
        <v>240</v>
      </c>
    </row>
    <row r="20" spans="2:16" ht="15" customHeight="1" x14ac:dyDescent="0.2">
      <c r="B20" s="250" t="s">
        <v>534</v>
      </c>
      <c r="C20" s="250" t="s">
        <v>4073</v>
      </c>
      <c r="D20" s="250" t="s">
        <v>1551</v>
      </c>
      <c r="K20" s="250">
        <v>0.55000000000000004</v>
      </c>
      <c r="L20" s="250">
        <v>240</v>
      </c>
    </row>
    <row r="21" spans="2:16" ht="15" customHeight="1" x14ac:dyDescent="0.2">
      <c r="B21" s="250" t="s">
        <v>535</v>
      </c>
      <c r="C21" s="250" t="s">
        <v>4073</v>
      </c>
      <c r="D21" s="250" t="s">
        <v>1551</v>
      </c>
      <c r="K21" s="250">
        <v>0.55000000000000004</v>
      </c>
      <c r="L21" s="250">
        <v>480</v>
      </c>
    </row>
    <row r="22" spans="2:16" ht="15" customHeight="1" x14ac:dyDescent="0.2">
      <c r="B22" s="250" t="s">
        <v>536</v>
      </c>
      <c r="C22" s="250" t="s">
        <v>3883</v>
      </c>
      <c r="D22" s="250" t="s">
        <v>1551</v>
      </c>
      <c r="K22" s="250">
        <v>0.55000000000000004</v>
      </c>
      <c r="L22" s="250">
        <v>546</v>
      </c>
    </row>
    <row r="23" spans="2:16" ht="15" customHeight="1" x14ac:dyDescent="0.2">
      <c r="B23" s="250" t="s">
        <v>537</v>
      </c>
      <c r="C23" s="250" t="s">
        <v>3883</v>
      </c>
      <c r="D23" s="250" t="s">
        <v>1551</v>
      </c>
      <c r="K23" s="250">
        <v>0.55000000000000004</v>
      </c>
      <c r="L23" s="250">
        <v>592</v>
      </c>
    </row>
    <row r="24" spans="2:16" ht="15" customHeight="1" x14ac:dyDescent="0.2">
      <c r="B24" s="250" t="s">
        <v>538</v>
      </c>
      <c r="C24" s="250" t="s">
        <v>4073</v>
      </c>
      <c r="D24" s="250" t="s">
        <v>1551</v>
      </c>
      <c r="K24" s="250">
        <v>0.55000000000000004</v>
      </c>
      <c r="L24" s="250">
        <v>1590</v>
      </c>
    </row>
    <row r="25" spans="2:16" ht="15" customHeight="1" x14ac:dyDescent="0.2">
      <c r="B25" s="250" t="s">
        <v>532</v>
      </c>
      <c r="C25" s="250" t="s">
        <v>3883</v>
      </c>
      <c r="D25" s="250" t="s">
        <v>1551</v>
      </c>
      <c r="K25" s="250">
        <v>0.55000000000000004</v>
      </c>
      <c r="L25" s="250">
        <v>1682</v>
      </c>
    </row>
    <row r="26" spans="2:16" ht="15" customHeight="1" x14ac:dyDescent="0.2">
      <c r="B26" s="250" t="s">
        <v>531</v>
      </c>
      <c r="C26" s="250" t="s">
        <v>4073</v>
      </c>
      <c r="D26" s="250" t="s">
        <v>1551</v>
      </c>
      <c r="K26" s="250">
        <v>0.55000000000000004</v>
      </c>
      <c r="L26" s="250">
        <v>2944</v>
      </c>
    </row>
    <row r="27" spans="2:16" ht="15" customHeight="1" x14ac:dyDescent="0.2">
      <c r="B27" s="250" t="s">
        <v>3610</v>
      </c>
      <c r="C27" s="250" t="s">
        <v>3883</v>
      </c>
      <c r="D27" s="250" t="s">
        <v>695</v>
      </c>
      <c r="K27" s="250">
        <v>0.55000000000000004</v>
      </c>
      <c r="L27" s="250">
        <v>1000</v>
      </c>
    </row>
    <row r="28" spans="2:16" ht="15" customHeight="1" x14ac:dyDescent="0.2">
      <c r="B28" s="250" t="s">
        <v>3611</v>
      </c>
      <c r="C28" s="250" t="s">
        <v>3883</v>
      </c>
      <c r="D28" s="250" t="s">
        <v>695</v>
      </c>
      <c r="K28" s="250">
        <v>0.55000000000000004</v>
      </c>
      <c r="L28" s="250">
        <v>1300</v>
      </c>
    </row>
    <row r="29" spans="2:16" ht="15" customHeight="1" x14ac:dyDescent="0.2">
      <c r="B29" s="250" t="s">
        <v>3612</v>
      </c>
      <c r="C29" s="250" t="s">
        <v>3883</v>
      </c>
      <c r="D29" s="250" t="s">
        <v>695</v>
      </c>
      <c r="K29" s="250">
        <v>0.55000000000000004</v>
      </c>
      <c r="L29" s="250">
        <v>1500</v>
      </c>
    </row>
    <row r="30" spans="2:16" ht="15" customHeight="1" x14ac:dyDescent="0.2">
      <c r="B30" s="250" t="s">
        <v>3613</v>
      </c>
      <c r="C30" s="250" t="s">
        <v>4073</v>
      </c>
      <c r="D30" s="250" t="s">
        <v>695</v>
      </c>
      <c r="K30" s="250">
        <v>0.55000000000000004</v>
      </c>
      <c r="L30" s="250">
        <v>1700</v>
      </c>
    </row>
    <row r="31" spans="2:16" ht="15" customHeight="1" x14ac:dyDescent="0.2">
      <c r="B31" s="250" t="s">
        <v>3540</v>
      </c>
      <c r="C31" s="250" t="s">
        <v>3883</v>
      </c>
      <c r="D31" s="250" t="s">
        <v>218</v>
      </c>
      <c r="K31" s="250">
        <v>0.55000000000000004</v>
      </c>
      <c r="L31" s="250">
        <f t="shared" ref="L31:L94" si="0">ROUND(P31/K31,0)</f>
        <v>8305</v>
      </c>
      <c r="O31" s="250">
        <v>3950</v>
      </c>
      <c r="P31" s="250">
        <f>(O31+300+100)*1.05</f>
        <v>4567.5</v>
      </c>
    </row>
    <row r="32" spans="2:16" ht="15" customHeight="1" x14ac:dyDescent="0.2">
      <c r="B32" s="250" t="s">
        <v>3541</v>
      </c>
      <c r="C32" s="250" t="s">
        <v>3883</v>
      </c>
      <c r="D32" s="250" t="s">
        <v>218</v>
      </c>
      <c r="K32" s="250">
        <v>0.55000000000000004</v>
      </c>
      <c r="L32" s="250">
        <f t="shared" si="0"/>
        <v>8305</v>
      </c>
      <c r="O32" s="250">
        <v>3950</v>
      </c>
      <c r="P32" s="250">
        <f t="shared" ref="P32:P95" si="1">(O32+300+100)*1.05</f>
        <v>4567.5</v>
      </c>
    </row>
    <row r="33" spans="2:16" ht="15" customHeight="1" x14ac:dyDescent="0.2">
      <c r="B33" s="250" t="s">
        <v>3542</v>
      </c>
      <c r="C33" s="250" t="s">
        <v>3883</v>
      </c>
      <c r="D33" s="250" t="s">
        <v>218</v>
      </c>
      <c r="K33" s="250">
        <v>0.55000000000000004</v>
      </c>
      <c r="L33" s="250">
        <f t="shared" si="0"/>
        <v>8305</v>
      </c>
      <c r="O33" s="250">
        <v>3950</v>
      </c>
      <c r="P33" s="250">
        <f t="shared" si="1"/>
        <v>4567.5</v>
      </c>
    </row>
    <row r="34" spans="2:16" ht="15" customHeight="1" x14ac:dyDescent="0.2">
      <c r="B34" s="250" t="s">
        <v>3543</v>
      </c>
      <c r="C34" s="250" t="s">
        <v>3883</v>
      </c>
      <c r="D34" s="250" t="s">
        <v>218</v>
      </c>
      <c r="K34" s="250">
        <v>0.55000000000000004</v>
      </c>
      <c r="L34" s="250">
        <f t="shared" si="0"/>
        <v>8877</v>
      </c>
      <c r="O34" s="250">
        <v>4250</v>
      </c>
      <c r="P34" s="250">
        <f t="shared" si="1"/>
        <v>4882.5</v>
      </c>
    </row>
    <row r="35" spans="2:16" ht="15" customHeight="1" x14ac:dyDescent="0.2">
      <c r="B35" s="250" t="s">
        <v>3544</v>
      </c>
      <c r="C35" s="250" t="s">
        <v>3883</v>
      </c>
      <c r="D35" s="250" t="s">
        <v>218</v>
      </c>
      <c r="K35" s="250">
        <v>0.55000000000000004</v>
      </c>
      <c r="L35" s="250">
        <f t="shared" si="0"/>
        <v>8877</v>
      </c>
      <c r="O35" s="250">
        <v>4250</v>
      </c>
      <c r="P35" s="250">
        <f t="shared" si="1"/>
        <v>4882.5</v>
      </c>
    </row>
    <row r="36" spans="2:16" ht="15" customHeight="1" x14ac:dyDescent="0.2">
      <c r="B36" s="250" t="s">
        <v>3545</v>
      </c>
      <c r="C36" s="250" t="s">
        <v>4073</v>
      </c>
      <c r="D36" s="250" t="s">
        <v>218</v>
      </c>
      <c r="K36" s="250">
        <v>0.55000000000000004</v>
      </c>
      <c r="L36" s="250">
        <f t="shared" si="0"/>
        <v>8877</v>
      </c>
      <c r="O36" s="250">
        <v>4250</v>
      </c>
      <c r="P36" s="250">
        <f t="shared" si="1"/>
        <v>4882.5</v>
      </c>
    </row>
    <row r="37" spans="2:16" ht="15" customHeight="1" x14ac:dyDescent="0.2">
      <c r="B37" s="250" t="s">
        <v>3546</v>
      </c>
      <c r="C37" s="250" t="s">
        <v>4073</v>
      </c>
      <c r="D37" s="250" t="s">
        <v>218</v>
      </c>
      <c r="K37" s="250">
        <v>0.55000000000000004</v>
      </c>
      <c r="L37" s="250">
        <f t="shared" si="0"/>
        <v>9545</v>
      </c>
      <c r="O37" s="250">
        <v>4600</v>
      </c>
      <c r="P37" s="250">
        <f t="shared" si="1"/>
        <v>5250</v>
      </c>
    </row>
    <row r="38" spans="2:16" ht="15" customHeight="1" x14ac:dyDescent="0.2">
      <c r="B38" s="250" t="s">
        <v>3553</v>
      </c>
      <c r="C38" s="250" t="s">
        <v>3883</v>
      </c>
      <c r="D38" s="250" t="s">
        <v>218</v>
      </c>
      <c r="K38" s="250">
        <v>0.55000000000000004</v>
      </c>
      <c r="L38" s="250">
        <f t="shared" si="0"/>
        <v>12791</v>
      </c>
      <c r="O38" s="250">
        <v>6300</v>
      </c>
      <c r="P38" s="250">
        <f t="shared" si="1"/>
        <v>7035</v>
      </c>
    </row>
    <row r="39" spans="2:16" ht="15" customHeight="1" x14ac:dyDescent="0.2">
      <c r="B39" s="250" t="s">
        <v>3554</v>
      </c>
      <c r="C39" s="250" t="s">
        <v>4073</v>
      </c>
      <c r="D39" s="250" t="s">
        <v>218</v>
      </c>
      <c r="K39" s="250">
        <v>0.55000000000000004</v>
      </c>
      <c r="L39" s="250">
        <f t="shared" si="0"/>
        <v>12791</v>
      </c>
      <c r="O39" s="250">
        <v>6300</v>
      </c>
      <c r="P39" s="250">
        <f t="shared" si="1"/>
        <v>7035</v>
      </c>
    </row>
    <row r="40" spans="2:16" ht="15" customHeight="1" x14ac:dyDescent="0.2">
      <c r="B40" s="250" t="s">
        <v>3555</v>
      </c>
      <c r="C40" s="250" t="s">
        <v>3883</v>
      </c>
      <c r="D40" s="250" t="s">
        <v>218</v>
      </c>
      <c r="K40" s="250">
        <v>0.55000000000000004</v>
      </c>
      <c r="L40" s="250">
        <f t="shared" si="0"/>
        <v>14127</v>
      </c>
      <c r="O40" s="250">
        <v>7000</v>
      </c>
      <c r="P40" s="250">
        <f t="shared" si="1"/>
        <v>7770</v>
      </c>
    </row>
    <row r="41" spans="2:16" ht="15" customHeight="1" x14ac:dyDescent="0.2">
      <c r="B41" s="250" t="s">
        <v>3556</v>
      </c>
      <c r="C41" s="250" t="s">
        <v>4073</v>
      </c>
      <c r="D41" s="250" t="s">
        <v>218</v>
      </c>
      <c r="K41" s="250">
        <v>0.55000000000000004</v>
      </c>
      <c r="L41" s="250">
        <f t="shared" si="0"/>
        <v>14127</v>
      </c>
      <c r="O41" s="250">
        <v>7000</v>
      </c>
      <c r="P41" s="250">
        <f t="shared" si="1"/>
        <v>7770</v>
      </c>
    </row>
    <row r="42" spans="2:16" ht="15" customHeight="1" x14ac:dyDescent="0.2">
      <c r="B42" s="250" t="s">
        <v>3564</v>
      </c>
      <c r="C42" s="250" t="s">
        <v>3883</v>
      </c>
      <c r="D42" s="250" t="s">
        <v>218</v>
      </c>
      <c r="K42" s="250">
        <v>0.55000000000000004</v>
      </c>
      <c r="L42" s="250">
        <f t="shared" si="0"/>
        <v>22336</v>
      </c>
      <c r="O42" s="250">
        <v>11300</v>
      </c>
      <c r="P42" s="250">
        <f t="shared" si="1"/>
        <v>12285</v>
      </c>
    </row>
    <row r="43" spans="2:16" ht="15" customHeight="1" x14ac:dyDescent="0.2">
      <c r="B43" s="250" t="s">
        <v>3565</v>
      </c>
      <c r="C43" s="250" t="s">
        <v>4073</v>
      </c>
      <c r="D43" s="250" t="s">
        <v>218</v>
      </c>
      <c r="K43" s="250">
        <v>0.55000000000000004</v>
      </c>
      <c r="L43" s="250">
        <f t="shared" si="0"/>
        <v>22336</v>
      </c>
      <c r="O43" s="250">
        <v>11300</v>
      </c>
      <c r="P43" s="250">
        <f t="shared" si="1"/>
        <v>12285</v>
      </c>
    </row>
    <row r="44" spans="2:16" ht="15" customHeight="1" x14ac:dyDescent="0.2">
      <c r="B44" s="250" t="s">
        <v>3566</v>
      </c>
      <c r="C44" s="250" t="s">
        <v>3883</v>
      </c>
      <c r="D44" s="250" t="s">
        <v>218</v>
      </c>
      <c r="K44" s="250">
        <v>0.55000000000000004</v>
      </c>
      <c r="L44" s="250">
        <f t="shared" si="0"/>
        <v>22336</v>
      </c>
      <c r="O44" s="250">
        <v>11300</v>
      </c>
      <c r="P44" s="250">
        <f t="shared" si="1"/>
        <v>12285</v>
      </c>
    </row>
    <row r="45" spans="2:16" ht="15" customHeight="1" x14ac:dyDescent="0.2">
      <c r="B45" s="250" t="s">
        <v>3575</v>
      </c>
      <c r="C45" s="250" t="s">
        <v>3883</v>
      </c>
      <c r="D45" s="250" t="s">
        <v>218</v>
      </c>
      <c r="K45" s="250">
        <v>0.55000000000000004</v>
      </c>
      <c r="L45" s="250">
        <f t="shared" si="0"/>
        <v>32836</v>
      </c>
      <c r="O45" s="250">
        <v>16800</v>
      </c>
      <c r="P45" s="250">
        <f t="shared" si="1"/>
        <v>18060</v>
      </c>
    </row>
    <row r="46" spans="2:16" ht="15" customHeight="1" x14ac:dyDescent="0.2">
      <c r="B46" s="250" t="s">
        <v>3576</v>
      </c>
      <c r="C46" s="250" t="s">
        <v>3883</v>
      </c>
      <c r="D46" s="250" t="s">
        <v>218</v>
      </c>
      <c r="K46" s="250">
        <v>0.55000000000000004</v>
      </c>
      <c r="L46" s="250">
        <f t="shared" si="0"/>
        <v>36082</v>
      </c>
      <c r="O46" s="250">
        <v>18500</v>
      </c>
      <c r="P46" s="250">
        <f t="shared" si="1"/>
        <v>19845</v>
      </c>
    </row>
    <row r="47" spans="2:16" ht="15" customHeight="1" x14ac:dyDescent="0.2">
      <c r="B47" s="250" t="s">
        <v>3577</v>
      </c>
      <c r="C47" s="250" t="s">
        <v>4073</v>
      </c>
      <c r="D47" s="250" t="s">
        <v>218</v>
      </c>
      <c r="K47" s="250">
        <v>0.55000000000000004</v>
      </c>
      <c r="L47" s="250">
        <f t="shared" si="0"/>
        <v>41809</v>
      </c>
      <c r="O47" s="250">
        <v>21500</v>
      </c>
      <c r="P47" s="250">
        <f t="shared" si="1"/>
        <v>22995</v>
      </c>
    </row>
    <row r="48" spans="2:16" ht="15" customHeight="1" x14ac:dyDescent="0.2">
      <c r="B48" s="250" t="s">
        <v>4075</v>
      </c>
      <c r="C48" s="250" t="s">
        <v>3883</v>
      </c>
      <c r="D48" s="250" t="s">
        <v>218</v>
      </c>
      <c r="K48" s="250">
        <v>0.55000000000000004</v>
      </c>
      <c r="L48" s="250">
        <f t="shared" si="0"/>
        <v>10271</v>
      </c>
      <c r="O48" s="250">
        <v>4980</v>
      </c>
      <c r="P48" s="250">
        <f t="shared" si="1"/>
        <v>5649</v>
      </c>
    </row>
    <row r="49" spans="2:16" ht="15" customHeight="1" x14ac:dyDescent="0.2">
      <c r="B49" s="250" t="s">
        <v>3547</v>
      </c>
      <c r="C49" s="250" t="s">
        <v>3883</v>
      </c>
      <c r="D49" s="250" t="s">
        <v>218</v>
      </c>
      <c r="K49" s="250">
        <v>0.55000000000000004</v>
      </c>
      <c r="L49" s="250">
        <f t="shared" si="0"/>
        <v>10271</v>
      </c>
      <c r="O49" s="250">
        <v>4980</v>
      </c>
      <c r="P49" s="250">
        <f t="shared" si="1"/>
        <v>5649</v>
      </c>
    </row>
    <row r="50" spans="2:16" ht="15" customHeight="1" x14ac:dyDescent="0.2">
      <c r="B50" s="250" t="s">
        <v>3548</v>
      </c>
      <c r="C50" s="250" t="s">
        <v>3883</v>
      </c>
      <c r="D50" s="250" t="s">
        <v>218</v>
      </c>
      <c r="K50" s="250">
        <v>0.55000000000000004</v>
      </c>
      <c r="L50" s="250">
        <f t="shared" si="0"/>
        <v>10271</v>
      </c>
      <c r="O50" s="250">
        <v>4980</v>
      </c>
      <c r="P50" s="250">
        <f t="shared" si="1"/>
        <v>5649</v>
      </c>
    </row>
    <row r="51" spans="2:16" ht="15" customHeight="1" x14ac:dyDescent="0.2">
      <c r="B51" s="250" t="s">
        <v>3549</v>
      </c>
      <c r="C51" s="250" t="s">
        <v>3883</v>
      </c>
      <c r="D51" s="250" t="s">
        <v>218</v>
      </c>
      <c r="K51" s="250">
        <v>0.55000000000000004</v>
      </c>
      <c r="L51" s="250">
        <f t="shared" si="0"/>
        <v>10882</v>
      </c>
      <c r="O51" s="250">
        <v>5300</v>
      </c>
      <c r="P51" s="250">
        <f t="shared" si="1"/>
        <v>5985</v>
      </c>
    </row>
    <row r="52" spans="2:16" ht="15" customHeight="1" x14ac:dyDescent="0.2">
      <c r="B52" s="250" t="s">
        <v>3550</v>
      </c>
      <c r="C52" s="250" t="s">
        <v>3883</v>
      </c>
      <c r="D52" s="250" t="s">
        <v>218</v>
      </c>
      <c r="K52" s="250">
        <v>0.55000000000000004</v>
      </c>
      <c r="L52" s="250">
        <f t="shared" si="0"/>
        <v>10882</v>
      </c>
      <c r="O52" s="250">
        <v>5300</v>
      </c>
      <c r="P52" s="250">
        <f t="shared" si="1"/>
        <v>5985</v>
      </c>
    </row>
    <row r="53" spans="2:16" ht="15" customHeight="1" x14ac:dyDescent="0.2">
      <c r="B53" s="250" t="s">
        <v>3551</v>
      </c>
      <c r="C53" s="250" t="s">
        <v>4073</v>
      </c>
      <c r="D53" s="250" t="s">
        <v>218</v>
      </c>
      <c r="K53" s="250">
        <v>0.55000000000000004</v>
      </c>
      <c r="L53" s="250">
        <f t="shared" si="0"/>
        <v>10882</v>
      </c>
      <c r="O53" s="250">
        <v>5300</v>
      </c>
      <c r="P53" s="250">
        <f t="shared" si="1"/>
        <v>5985</v>
      </c>
    </row>
    <row r="54" spans="2:16" ht="15" customHeight="1" x14ac:dyDescent="0.2">
      <c r="B54" s="250" t="s">
        <v>3552</v>
      </c>
      <c r="C54" s="250" t="s">
        <v>4073</v>
      </c>
      <c r="D54" s="250" t="s">
        <v>218</v>
      </c>
      <c r="K54" s="250">
        <v>0.55000000000000004</v>
      </c>
      <c r="L54" s="250">
        <f t="shared" si="0"/>
        <v>11989</v>
      </c>
      <c r="O54" s="250">
        <v>5880</v>
      </c>
      <c r="P54" s="250">
        <f t="shared" si="1"/>
        <v>6594</v>
      </c>
    </row>
    <row r="55" spans="2:16" ht="15" customHeight="1" x14ac:dyDescent="0.2">
      <c r="B55" s="250" t="s">
        <v>3557</v>
      </c>
      <c r="C55" s="250" t="s">
        <v>3883</v>
      </c>
      <c r="D55" s="250" t="s">
        <v>218</v>
      </c>
      <c r="K55" s="250">
        <v>0.55000000000000004</v>
      </c>
      <c r="L55" s="250">
        <f t="shared" si="0"/>
        <v>15845</v>
      </c>
      <c r="O55" s="250">
        <v>7900</v>
      </c>
      <c r="P55" s="250">
        <f t="shared" si="1"/>
        <v>8715</v>
      </c>
    </row>
    <row r="56" spans="2:16" ht="15" customHeight="1" x14ac:dyDescent="0.2">
      <c r="B56" s="250" t="s">
        <v>3558</v>
      </c>
      <c r="C56" s="250" t="s">
        <v>3883</v>
      </c>
      <c r="D56" s="250" t="s">
        <v>218</v>
      </c>
      <c r="K56" s="250">
        <v>0.55000000000000004</v>
      </c>
      <c r="L56" s="250">
        <f t="shared" si="0"/>
        <v>15845</v>
      </c>
      <c r="O56" s="250">
        <v>7900</v>
      </c>
      <c r="P56" s="250">
        <f t="shared" si="1"/>
        <v>8715</v>
      </c>
    </row>
    <row r="57" spans="2:16" ht="15" customHeight="1" x14ac:dyDescent="0.2">
      <c r="B57" s="250" t="s">
        <v>3559</v>
      </c>
      <c r="C57" s="250" t="s">
        <v>3883</v>
      </c>
      <c r="D57" s="250" t="s">
        <v>218</v>
      </c>
      <c r="K57" s="250">
        <v>0.55000000000000004</v>
      </c>
      <c r="L57" s="250">
        <f t="shared" si="0"/>
        <v>17564</v>
      </c>
      <c r="O57" s="250">
        <v>8800</v>
      </c>
      <c r="P57" s="250">
        <f t="shared" si="1"/>
        <v>9660</v>
      </c>
    </row>
    <row r="58" spans="2:16" ht="15" customHeight="1" x14ac:dyDescent="0.2">
      <c r="B58" s="250" t="s">
        <v>3560</v>
      </c>
      <c r="C58" s="250" t="s">
        <v>3883</v>
      </c>
      <c r="D58" s="250" t="s">
        <v>218</v>
      </c>
      <c r="K58" s="250">
        <v>0.55000000000000004</v>
      </c>
      <c r="L58" s="250">
        <f t="shared" si="0"/>
        <v>17564</v>
      </c>
      <c r="O58" s="250">
        <v>8800</v>
      </c>
      <c r="P58" s="250">
        <f t="shared" si="1"/>
        <v>9660</v>
      </c>
    </row>
    <row r="59" spans="2:16" ht="15" customHeight="1" x14ac:dyDescent="0.2">
      <c r="B59" s="250" t="s">
        <v>3567</v>
      </c>
      <c r="C59" s="250" t="s">
        <v>4073</v>
      </c>
      <c r="D59" s="250" t="s">
        <v>218</v>
      </c>
      <c r="K59" s="250">
        <v>0.55000000000000004</v>
      </c>
      <c r="L59" s="250">
        <f t="shared" si="0"/>
        <v>31118</v>
      </c>
      <c r="O59" s="250">
        <v>15900</v>
      </c>
      <c r="P59" s="250">
        <f t="shared" si="1"/>
        <v>17115</v>
      </c>
    </row>
    <row r="60" spans="2:16" ht="15" customHeight="1" x14ac:dyDescent="0.2">
      <c r="B60" s="250" t="s">
        <v>3568</v>
      </c>
      <c r="C60" s="250" t="s">
        <v>3883</v>
      </c>
      <c r="D60" s="250" t="s">
        <v>218</v>
      </c>
      <c r="K60" s="250">
        <v>0.55000000000000004</v>
      </c>
      <c r="L60" s="250">
        <f t="shared" si="0"/>
        <v>31118</v>
      </c>
      <c r="O60" s="250">
        <v>15900</v>
      </c>
      <c r="P60" s="250">
        <f t="shared" si="1"/>
        <v>17115</v>
      </c>
    </row>
    <row r="61" spans="2:16" ht="15" customHeight="1" x14ac:dyDescent="0.2">
      <c r="B61" s="250" t="s">
        <v>3569</v>
      </c>
      <c r="C61" s="250" t="s">
        <v>3883</v>
      </c>
      <c r="D61" s="250" t="s">
        <v>218</v>
      </c>
      <c r="K61" s="250">
        <v>0.55000000000000004</v>
      </c>
      <c r="L61" s="250">
        <f t="shared" si="0"/>
        <v>31118</v>
      </c>
      <c r="O61" s="250">
        <v>15900</v>
      </c>
      <c r="P61" s="250">
        <f t="shared" si="1"/>
        <v>17115</v>
      </c>
    </row>
    <row r="62" spans="2:16" ht="15" customHeight="1" x14ac:dyDescent="0.2">
      <c r="B62" s="250" t="s">
        <v>3573</v>
      </c>
      <c r="C62" s="250" t="s">
        <v>4073</v>
      </c>
      <c r="D62" s="250" t="s">
        <v>218</v>
      </c>
      <c r="K62" s="250">
        <v>0.55000000000000004</v>
      </c>
      <c r="L62" s="250">
        <f t="shared" si="0"/>
        <v>36845</v>
      </c>
      <c r="O62" s="250">
        <v>18900</v>
      </c>
      <c r="P62" s="250">
        <f t="shared" si="1"/>
        <v>20265</v>
      </c>
    </row>
    <row r="63" spans="2:16" ht="15" customHeight="1" x14ac:dyDescent="0.2">
      <c r="B63" s="250" t="s">
        <v>3574</v>
      </c>
      <c r="C63" s="250" t="s">
        <v>4073</v>
      </c>
      <c r="D63" s="250" t="s">
        <v>218</v>
      </c>
      <c r="K63" s="250">
        <v>0.55000000000000004</v>
      </c>
      <c r="L63" s="250">
        <f t="shared" si="0"/>
        <v>40855</v>
      </c>
      <c r="O63" s="250">
        <v>21000</v>
      </c>
      <c r="P63" s="250">
        <f t="shared" si="1"/>
        <v>22470</v>
      </c>
    </row>
    <row r="64" spans="2:16" ht="15" customHeight="1" x14ac:dyDescent="0.2">
      <c r="B64" s="250" t="s">
        <v>4076</v>
      </c>
      <c r="C64" s="250" t="s">
        <v>3883</v>
      </c>
      <c r="D64" s="250" t="s">
        <v>218</v>
      </c>
      <c r="K64" s="250">
        <v>0.55000000000000004</v>
      </c>
      <c r="L64" s="250">
        <f t="shared" si="0"/>
        <v>53836</v>
      </c>
      <c r="O64" s="250">
        <v>27800</v>
      </c>
      <c r="P64" s="250">
        <f t="shared" si="1"/>
        <v>29610</v>
      </c>
    </row>
    <row r="65" spans="2:16" ht="15" customHeight="1" x14ac:dyDescent="0.2">
      <c r="B65" s="250" t="s">
        <v>3578</v>
      </c>
      <c r="C65" s="250" t="s">
        <v>4073</v>
      </c>
      <c r="D65" s="250" t="s">
        <v>218</v>
      </c>
      <c r="K65" s="250">
        <v>0.55000000000000004</v>
      </c>
      <c r="L65" s="250">
        <f t="shared" si="0"/>
        <v>6300</v>
      </c>
      <c r="O65" s="250">
        <v>2900</v>
      </c>
      <c r="P65" s="250">
        <f t="shared" si="1"/>
        <v>3465</v>
      </c>
    </row>
    <row r="66" spans="2:16" ht="15" customHeight="1" x14ac:dyDescent="0.2">
      <c r="B66" s="250" t="s">
        <v>3579</v>
      </c>
      <c r="C66" s="250" t="s">
        <v>4073</v>
      </c>
      <c r="D66" s="250" t="s">
        <v>218</v>
      </c>
      <c r="K66" s="250">
        <v>0.55000000000000004</v>
      </c>
      <c r="L66" s="250">
        <f t="shared" si="0"/>
        <v>6300</v>
      </c>
      <c r="O66" s="250">
        <v>2900</v>
      </c>
      <c r="P66" s="250">
        <f t="shared" si="1"/>
        <v>3465</v>
      </c>
    </row>
    <row r="67" spans="2:16" ht="15" customHeight="1" x14ac:dyDescent="0.2">
      <c r="B67" s="250" t="s">
        <v>3580</v>
      </c>
      <c r="C67" s="250" t="s">
        <v>4073</v>
      </c>
      <c r="D67" s="250" t="s">
        <v>218</v>
      </c>
      <c r="K67" s="250">
        <v>0.55000000000000004</v>
      </c>
      <c r="L67" s="250">
        <f t="shared" si="0"/>
        <v>6300</v>
      </c>
      <c r="O67" s="250">
        <v>2900</v>
      </c>
      <c r="P67" s="250">
        <f t="shared" si="1"/>
        <v>3465</v>
      </c>
    </row>
    <row r="68" spans="2:16" ht="15" customHeight="1" x14ac:dyDescent="0.2">
      <c r="B68" s="250" t="s">
        <v>3581</v>
      </c>
      <c r="C68" s="250" t="s">
        <v>3883</v>
      </c>
      <c r="D68" s="250" t="s">
        <v>218</v>
      </c>
      <c r="K68" s="250">
        <v>0.55000000000000004</v>
      </c>
      <c r="L68" s="250">
        <f t="shared" si="0"/>
        <v>6300</v>
      </c>
      <c r="O68" s="250">
        <v>2900</v>
      </c>
      <c r="P68" s="250">
        <f t="shared" si="1"/>
        <v>3465</v>
      </c>
    </row>
    <row r="69" spans="2:16" ht="15" customHeight="1" x14ac:dyDescent="0.2">
      <c r="B69" s="250" t="s">
        <v>3582</v>
      </c>
      <c r="C69" s="250" t="s">
        <v>3883</v>
      </c>
      <c r="D69" s="250" t="s">
        <v>218</v>
      </c>
      <c r="K69" s="250">
        <v>0.55000000000000004</v>
      </c>
      <c r="L69" s="250">
        <f t="shared" si="0"/>
        <v>6491</v>
      </c>
      <c r="O69" s="250">
        <v>3000</v>
      </c>
      <c r="P69" s="250">
        <f t="shared" si="1"/>
        <v>3570</v>
      </c>
    </row>
    <row r="70" spans="2:16" ht="15" customHeight="1" x14ac:dyDescent="0.2">
      <c r="B70" s="250" t="s">
        <v>3583</v>
      </c>
      <c r="C70" s="250" t="s">
        <v>4073</v>
      </c>
      <c r="D70" s="250" t="s">
        <v>218</v>
      </c>
      <c r="K70" s="250">
        <v>0.55000000000000004</v>
      </c>
      <c r="L70" s="250">
        <f t="shared" si="0"/>
        <v>6491</v>
      </c>
      <c r="O70" s="250">
        <v>3000</v>
      </c>
      <c r="P70" s="250">
        <f t="shared" si="1"/>
        <v>3570</v>
      </c>
    </row>
    <row r="71" spans="2:16" ht="15" customHeight="1" x14ac:dyDescent="0.2">
      <c r="B71" s="250" t="s">
        <v>3584</v>
      </c>
      <c r="C71" s="250" t="s">
        <v>4073</v>
      </c>
      <c r="D71" s="250" t="s">
        <v>218</v>
      </c>
      <c r="K71" s="250">
        <v>0.55000000000000004</v>
      </c>
      <c r="L71" s="250">
        <f t="shared" si="0"/>
        <v>6491</v>
      </c>
      <c r="O71" s="250">
        <v>3000</v>
      </c>
      <c r="P71" s="250">
        <f t="shared" si="1"/>
        <v>3570</v>
      </c>
    </row>
    <row r="72" spans="2:16" ht="15" customHeight="1" x14ac:dyDescent="0.2">
      <c r="B72" s="250" t="s">
        <v>3585</v>
      </c>
      <c r="C72" s="250" t="s">
        <v>3883</v>
      </c>
      <c r="D72" s="250" t="s">
        <v>218</v>
      </c>
      <c r="K72" s="250">
        <v>0.55000000000000004</v>
      </c>
      <c r="L72" s="250">
        <f t="shared" si="0"/>
        <v>6777</v>
      </c>
      <c r="O72" s="250">
        <v>3150</v>
      </c>
      <c r="P72" s="250">
        <f t="shared" si="1"/>
        <v>3727.5</v>
      </c>
    </row>
    <row r="73" spans="2:16" ht="15" customHeight="1" x14ac:dyDescent="0.2">
      <c r="B73" s="250" t="s">
        <v>3592</v>
      </c>
      <c r="C73" s="250" t="s">
        <v>3883</v>
      </c>
      <c r="D73" s="250" t="s">
        <v>218</v>
      </c>
      <c r="K73" s="250">
        <v>0.55000000000000004</v>
      </c>
      <c r="L73" s="250">
        <f t="shared" si="0"/>
        <v>8495</v>
      </c>
      <c r="O73" s="250">
        <v>4050</v>
      </c>
      <c r="P73" s="250">
        <f t="shared" si="1"/>
        <v>4672.5</v>
      </c>
    </row>
    <row r="74" spans="2:16" ht="15" customHeight="1" x14ac:dyDescent="0.2">
      <c r="B74" s="250" t="s">
        <v>3593</v>
      </c>
      <c r="C74" s="250" t="s">
        <v>3883</v>
      </c>
      <c r="D74" s="250" t="s">
        <v>218</v>
      </c>
      <c r="K74" s="250">
        <v>0.55000000000000004</v>
      </c>
      <c r="L74" s="250">
        <f t="shared" si="0"/>
        <v>8495</v>
      </c>
      <c r="O74" s="250">
        <v>4050</v>
      </c>
      <c r="P74" s="250">
        <f t="shared" si="1"/>
        <v>4672.5</v>
      </c>
    </row>
    <row r="75" spans="2:16" ht="15" customHeight="1" x14ac:dyDescent="0.2">
      <c r="B75" s="250" t="s">
        <v>3594</v>
      </c>
      <c r="C75" s="250" t="s">
        <v>4073</v>
      </c>
      <c r="D75" s="250" t="s">
        <v>218</v>
      </c>
      <c r="K75" s="250">
        <v>0.55000000000000004</v>
      </c>
      <c r="L75" s="250">
        <f t="shared" si="0"/>
        <v>9164</v>
      </c>
      <c r="O75" s="250">
        <v>4400</v>
      </c>
      <c r="P75" s="250">
        <f t="shared" si="1"/>
        <v>5040</v>
      </c>
    </row>
    <row r="76" spans="2:16" ht="15" customHeight="1" x14ac:dyDescent="0.2">
      <c r="B76" s="250" t="s">
        <v>3595</v>
      </c>
      <c r="C76" s="250" t="s">
        <v>3883</v>
      </c>
      <c r="D76" s="250" t="s">
        <v>218</v>
      </c>
      <c r="K76" s="250">
        <v>0.55000000000000004</v>
      </c>
      <c r="L76" s="250">
        <f t="shared" si="0"/>
        <v>9164</v>
      </c>
      <c r="O76" s="250">
        <v>4400</v>
      </c>
      <c r="P76" s="250">
        <f t="shared" si="1"/>
        <v>5040</v>
      </c>
    </row>
    <row r="77" spans="2:16" ht="15" customHeight="1" x14ac:dyDescent="0.2">
      <c r="B77" s="250" t="s">
        <v>3561</v>
      </c>
      <c r="C77" s="250" t="s">
        <v>4073</v>
      </c>
      <c r="D77" s="250" t="s">
        <v>218</v>
      </c>
      <c r="K77" s="250">
        <v>0.55000000000000004</v>
      </c>
      <c r="L77" s="250">
        <f t="shared" si="0"/>
        <v>11741</v>
      </c>
      <c r="O77" s="250">
        <v>5750</v>
      </c>
      <c r="P77" s="250">
        <f t="shared" si="1"/>
        <v>6457.5</v>
      </c>
    </row>
    <row r="78" spans="2:16" ht="15" customHeight="1" x14ac:dyDescent="0.2">
      <c r="B78" s="250" t="s">
        <v>3562</v>
      </c>
      <c r="C78" s="250" t="s">
        <v>3883</v>
      </c>
      <c r="D78" s="250" t="s">
        <v>218</v>
      </c>
      <c r="K78" s="250">
        <v>0.55000000000000004</v>
      </c>
      <c r="L78" s="250">
        <f t="shared" si="0"/>
        <v>11741</v>
      </c>
      <c r="O78" s="250">
        <v>5750</v>
      </c>
      <c r="P78" s="250">
        <f t="shared" si="1"/>
        <v>6457.5</v>
      </c>
    </row>
    <row r="79" spans="2:16" ht="15" customHeight="1" x14ac:dyDescent="0.2">
      <c r="B79" s="250" t="s">
        <v>3563</v>
      </c>
      <c r="C79" s="250" t="s">
        <v>4073</v>
      </c>
      <c r="D79" s="250" t="s">
        <v>218</v>
      </c>
      <c r="K79" s="250">
        <v>0.55000000000000004</v>
      </c>
      <c r="L79" s="250">
        <f t="shared" si="0"/>
        <v>11741</v>
      </c>
      <c r="O79" s="250">
        <v>5750</v>
      </c>
      <c r="P79" s="250">
        <f t="shared" si="1"/>
        <v>6457.5</v>
      </c>
    </row>
    <row r="80" spans="2:16" ht="15" customHeight="1" x14ac:dyDescent="0.2">
      <c r="B80" s="250" t="s">
        <v>3570</v>
      </c>
      <c r="C80" s="250" t="s">
        <v>3883</v>
      </c>
      <c r="D80" s="250" t="s">
        <v>218</v>
      </c>
      <c r="K80" s="250">
        <v>0.55000000000000004</v>
      </c>
      <c r="L80" s="250">
        <f t="shared" si="0"/>
        <v>18136</v>
      </c>
      <c r="O80" s="250">
        <v>9100</v>
      </c>
      <c r="P80" s="250">
        <f t="shared" si="1"/>
        <v>9975</v>
      </c>
    </row>
    <row r="81" spans="2:16" ht="15" customHeight="1" x14ac:dyDescent="0.2">
      <c r="B81" s="250" t="s">
        <v>3571</v>
      </c>
      <c r="C81" s="250" t="s">
        <v>3883</v>
      </c>
      <c r="D81" s="250" t="s">
        <v>218</v>
      </c>
      <c r="K81" s="250">
        <v>0.55000000000000004</v>
      </c>
      <c r="L81" s="250">
        <f t="shared" si="0"/>
        <v>19473</v>
      </c>
      <c r="O81" s="250">
        <v>9800</v>
      </c>
      <c r="P81" s="250">
        <f t="shared" si="1"/>
        <v>10710</v>
      </c>
    </row>
    <row r="82" spans="2:16" ht="15" customHeight="1" x14ac:dyDescent="0.2">
      <c r="B82" s="250" t="s">
        <v>3572</v>
      </c>
      <c r="C82" s="250" t="s">
        <v>4073</v>
      </c>
      <c r="D82" s="250" t="s">
        <v>218</v>
      </c>
      <c r="K82" s="250">
        <v>0.55000000000000004</v>
      </c>
      <c r="L82" s="250">
        <f t="shared" si="0"/>
        <v>21764</v>
      </c>
      <c r="O82" s="250">
        <v>11000</v>
      </c>
      <c r="P82" s="250">
        <f t="shared" si="1"/>
        <v>11970</v>
      </c>
    </row>
    <row r="83" spans="2:16" ht="15" customHeight="1" x14ac:dyDescent="0.2">
      <c r="B83" s="250" t="s">
        <v>3586</v>
      </c>
      <c r="C83" s="250" t="s">
        <v>3883</v>
      </c>
      <c r="D83" s="250" t="s">
        <v>218</v>
      </c>
      <c r="K83" s="250">
        <v>0.55000000000000004</v>
      </c>
      <c r="L83" s="250">
        <f t="shared" si="0"/>
        <v>7255</v>
      </c>
      <c r="O83" s="250">
        <v>3400</v>
      </c>
      <c r="P83" s="250">
        <f t="shared" si="1"/>
        <v>3990</v>
      </c>
    </row>
    <row r="84" spans="2:16" ht="15" customHeight="1" x14ac:dyDescent="0.2">
      <c r="B84" s="250" t="s">
        <v>3587</v>
      </c>
      <c r="C84" s="250" t="s">
        <v>4073</v>
      </c>
      <c r="D84" s="250" t="s">
        <v>218</v>
      </c>
      <c r="K84" s="250">
        <v>0.55000000000000004</v>
      </c>
      <c r="L84" s="250">
        <f t="shared" si="0"/>
        <v>7255</v>
      </c>
      <c r="O84" s="250">
        <v>3400</v>
      </c>
      <c r="P84" s="250">
        <f t="shared" si="1"/>
        <v>3990</v>
      </c>
    </row>
    <row r="85" spans="2:16" ht="15" customHeight="1" x14ac:dyDescent="0.2">
      <c r="B85" s="250" t="s">
        <v>3588</v>
      </c>
      <c r="C85" s="250" t="s">
        <v>3883</v>
      </c>
      <c r="D85" s="250" t="s">
        <v>218</v>
      </c>
      <c r="K85" s="250">
        <v>0.55000000000000004</v>
      </c>
      <c r="L85" s="250">
        <f t="shared" si="0"/>
        <v>7827</v>
      </c>
      <c r="O85" s="250">
        <v>3700</v>
      </c>
      <c r="P85" s="250">
        <f t="shared" si="1"/>
        <v>4305</v>
      </c>
    </row>
    <row r="86" spans="2:16" ht="15" customHeight="1" x14ac:dyDescent="0.2">
      <c r="B86" s="250" t="s">
        <v>3589</v>
      </c>
      <c r="C86" s="250" t="s">
        <v>3883</v>
      </c>
      <c r="D86" s="250" t="s">
        <v>218</v>
      </c>
      <c r="K86" s="250">
        <v>0.55000000000000004</v>
      </c>
      <c r="L86" s="250">
        <f t="shared" si="0"/>
        <v>7827</v>
      </c>
      <c r="O86" s="250">
        <v>3700</v>
      </c>
      <c r="P86" s="250">
        <f t="shared" si="1"/>
        <v>4305</v>
      </c>
    </row>
    <row r="87" spans="2:16" ht="15" customHeight="1" x14ac:dyDescent="0.2">
      <c r="B87" s="250" t="s">
        <v>3590</v>
      </c>
      <c r="C87" s="250" t="s">
        <v>4073</v>
      </c>
      <c r="D87" s="250" t="s">
        <v>218</v>
      </c>
      <c r="K87" s="250">
        <v>0.55000000000000004</v>
      </c>
      <c r="L87" s="250">
        <f t="shared" si="0"/>
        <v>7827</v>
      </c>
      <c r="O87" s="250">
        <v>3700</v>
      </c>
      <c r="P87" s="250">
        <f t="shared" si="1"/>
        <v>4305</v>
      </c>
    </row>
    <row r="88" spans="2:16" ht="15" customHeight="1" x14ac:dyDescent="0.2">
      <c r="B88" s="250" t="s">
        <v>3591</v>
      </c>
      <c r="C88" s="250" t="s">
        <v>4073</v>
      </c>
      <c r="D88" s="250" t="s">
        <v>218</v>
      </c>
      <c r="K88" s="250">
        <v>0.55000000000000004</v>
      </c>
      <c r="L88" s="250">
        <f t="shared" si="0"/>
        <v>8209</v>
      </c>
      <c r="O88" s="250">
        <v>3900</v>
      </c>
      <c r="P88" s="250">
        <f t="shared" si="1"/>
        <v>4515</v>
      </c>
    </row>
    <row r="89" spans="2:16" ht="15" customHeight="1" x14ac:dyDescent="0.2">
      <c r="B89" s="250" t="s">
        <v>3596</v>
      </c>
      <c r="C89" s="250" t="s">
        <v>3883</v>
      </c>
      <c r="D89" s="250" t="s">
        <v>218</v>
      </c>
      <c r="K89" s="250">
        <v>0.55000000000000004</v>
      </c>
      <c r="L89" s="250">
        <f t="shared" si="0"/>
        <v>10500</v>
      </c>
      <c r="O89" s="250">
        <v>5100</v>
      </c>
      <c r="P89" s="250">
        <f t="shared" si="1"/>
        <v>5775</v>
      </c>
    </row>
    <row r="90" spans="2:16" ht="15" customHeight="1" x14ac:dyDescent="0.2">
      <c r="B90" s="250" t="s">
        <v>3597</v>
      </c>
      <c r="C90" s="250" t="s">
        <v>4073</v>
      </c>
      <c r="D90" s="250" t="s">
        <v>218</v>
      </c>
      <c r="K90" s="250">
        <v>0.55000000000000004</v>
      </c>
      <c r="L90" s="250">
        <f t="shared" si="0"/>
        <v>10500</v>
      </c>
      <c r="O90" s="250">
        <v>5100</v>
      </c>
      <c r="P90" s="250">
        <f t="shared" si="1"/>
        <v>5775</v>
      </c>
    </row>
    <row r="91" spans="2:16" ht="15" customHeight="1" x14ac:dyDescent="0.2">
      <c r="B91" s="250" t="s">
        <v>3598</v>
      </c>
      <c r="C91" s="250" t="s">
        <v>3883</v>
      </c>
      <c r="D91" s="250" t="s">
        <v>218</v>
      </c>
      <c r="K91" s="250">
        <v>0.55000000000000004</v>
      </c>
      <c r="L91" s="250">
        <f t="shared" si="0"/>
        <v>11264</v>
      </c>
      <c r="O91" s="250">
        <v>5500</v>
      </c>
      <c r="P91" s="250">
        <f t="shared" si="1"/>
        <v>6195</v>
      </c>
    </row>
    <row r="92" spans="2:16" ht="15" customHeight="1" x14ac:dyDescent="0.2">
      <c r="B92" s="250" t="s">
        <v>3599</v>
      </c>
      <c r="C92" s="250" t="s">
        <v>3883</v>
      </c>
      <c r="D92" s="250" t="s">
        <v>218</v>
      </c>
      <c r="K92" s="250">
        <v>0.55000000000000004</v>
      </c>
      <c r="L92" s="250">
        <f t="shared" si="0"/>
        <v>11264</v>
      </c>
      <c r="O92" s="250">
        <v>5500</v>
      </c>
      <c r="P92" s="250">
        <f t="shared" si="1"/>
        <v>6195</v>
      </c>
    </row>
    <row r="93" spans="2:16" ht="15" customHeight="1" x14ac:dyDescent="0.2">
      <c r="B93" s="250" t="s">
        <v>3600</v>
      </c>
      <c r="C93" s="250" t="s">
        <v>4073</v>
      </c>
      <c r="D93" s="250" t="s">
        <v>218</v>
      </c>
      <c r="K93" s="250">
        <v>0.55000000000000004</v>
      </c>
      <c r="L93" s="250">
        <f t="shared" si="0"/>
        <v>15655</v>
      </c>
      <c r="O93" s="250">
        <v>7800</v>
      </c>
      <c r="P93" s="250">
        <f t="shared" si="1"/>
        <v>8610</v>
      </c>
    </row>
    <row r="94" spans="2:16" ht="15" customHeight="1" x14ac:dyDescent="0.2">
      <c r="B94" s="250" t="s">
        <v>3601</v>
      </c>
      <c r="C94" s="250" t="s">
        <v>3883</v>
      </c>
      <c r="D94" s="250" t="s">
        <v>218</v>
      </c>
      <c r="K94" s="250">
        <v>0.55000000000000004</v>
      </c>
      <c r="L94" s="250">
        <f t="shared" si="0"/>
        <v>15655</v>
      </c>
      <c r="O94" s="250">
        <v>7800</v>
      </c>
      <c r="P94" s="250">
        <f t="shared" si="1"/>
        <v>8610</v>
      </c>
    </row>
    <row r="95" spans="2:16" ht="15" customHeight="1" x14ac:dyDescent="0.2">
      <c r="B95" s="250" t="s">
        <v>3602</v>
      </c>
      <c r="C95" s="250" t="s">
        <v>3883</v>
      </c>
      <c r="D95" s="250" t="s">
        <v>218</v>
      </c>
      <c r="K95" s="250">
        <v>0.55000000000000004</v>
      </c>
      <c r="L95" s="250">
        <f t="shared" ref="L95:L98" si="2">ROUND(P95/K95,0)</f>
        <v>15655</v>
      </c>
      <c r="O95" s="250">
        <v>7800</v>
      </c>
      <c r="P95" s="250">
        <f t="shared" si="1"/>
        <v>8610</v>
      </c>
    </row>
    <row r="96" spans="2:16" ht="15" customHeight="1" x14ac:dyDescent="0.2">
      <c r="B96" s="250" t="s">
        <v>3603</v>
      </c>
      <c r="C96" s="250" t="s">
        <v>3883</v>
      </c>
      <c r="D96" s="250" t="s">
        <v>218</v>
      </c>
      <c r="K96" s="250">
        <v>0.55000000000000004</v>
      </c>
      <c r="L96" s="250">
        <f t="shared" si="2"/>
        <v>20045</v>
      </c>
      <c r="O96" s="250">
        <v>10100</v>
      </c>
      <c r="P96" s="250">
        <f t="shared" ref="P96:P98" si="3">(O96+300+100)*1.05</f>
        <v>11025</v>
      </c>
    </row>
    <row r="97" spans="2:16" ht="15" customHeight="1" x14ac:dyDescent="0.2">
      <c r="B97" s="250" t="s">
        <v>3604</v>
      </c>
      <c r="C97" s="250" t="s">
        <v>4073</v>
      </c>
      <c r="D97" s="250" t="s">
        <v>218</v>
      </c>
      <c r="K97" s="250">
        <v>0.55000000000000004</v>
      </c>
      <c r="L97" s="250">
        <f t="shared" si="2"/>
        <v>21764</v>
      </c>
      <c r="O97" s="250">
        <v>11000</v>
      </c>
      <c r="P97" s="250">
        <f t="shared" si="3"/>
        <v>11970</v>
      </c>
    </row>
    <row r="98" spans="2:16" ht="15" customHeight="1" x14ac:dyDescent="0.2">
      <c r="B98" s="250" t="s">
        <v>3605</v>
      </c>
      <c r="C98" s="250" t="s">
        <v>4073</v>
      </c>
      <c r="D98" s="250" t="s">
        <v>218</v>
      </c>
      <c r="K98" s="250">
        <v>0.55000000000000004</v>
      </c>
      <c r="L98" s="250">
        <f t="shared" si="2"/>
        <v>26727</v>
      </c>
      <c r="O98" s="250">
        <v>13600</v>
      </c>
      <c r="P98" s="250">
        <f t="shared" si="3"/>
        <v>14700</v>
      </c>
    </row>
    <row r="99" spans="2:16" ht="15" customHeight="1" x14ac:dyDescent="0.2">
      <c r="B99" s="250" t="s">
        <v>4077</v>
      </c>
      <c r="C99" s="250" t="s">
        <v>3883</v>
      </c>
      <c r="D99" s="250" t="s">
        <v>4078</v>
      </c>
      <c r="K99" s="250">
        <v>0.55000000000000004</v>
      </c>
      <c r="L99" s="250">
        <v>2200</v>
      </c>
    </row>
    <row r="100" spans="2:16" ht="15" customHeight="1" x14ac:dyDescent="0.2">
      <c r="B100" s="250" t="s">
        <v>4079</v>
      </c>
      <c r="C100" s="250" t="s">
        <v>4073</v>
      </c>
      <c r="D100" s="250" t="s">
        <v>4078</v>
      </c>
      <c r="K100" s="250">
        <v>0.55000000000000004</v>
      </c>
      <c r="L100" s="250">
        <v>4600</v>
      </c>
    </row>
    <row r="101" spans="2:16" ht="15" customHeight="1" x14ac:dyDescent="0.2">
      <c r="B101" s="250" t="s">
        <v>3879</v>
      </c>
      <c r="C101" s="250" t="s">
        <v>3883</v>
      </c>
      <c r="D101" s="250" t="s">
        <v>3878</v>
      </c>
      <c r="K101" s="250">
        <v>0.55000000000000004</v>
      </c>
      <c r="L101" s="250">
        <v>5000</v>
      </c>
    </row>
    <row r="102" spans="2:16" ht="15" customHeight="1" x14ac:dyDescent="0.2">
      <c r="B102" s="250" t="s">
        <v>3880</v>
      </c>
      <c r="C102" s="250" t="s">
        <v>4073</v>
      </c>
      <c r="D102" s="250" t="s">
        <v>3878</v>
      </c>
      <c r="K102" s="250">
        <v>0.55000000000000004</v>
      </c>
      <c r="L102" s="250">
        <v>5200</v>
      </c>
    </row>
    <row r="103" spans="2:16" ht="15" customHeight="1" x14ac:dyDescent="0.2">
      <c r="B103" s="250" t="s">
        <v>4080</v>
      </c>
      <c r="C103" s="250" t="s">
        <v>3883</v>
      </c>
      <c r="D103" s="250" t="s">
        <v>4078</v>
      </c>
      <c r="K103" s="250">
        <v>0.55000000000000004</v>
      </c>
      <c r="L103" s="250">
        <v>11600</v>
      </c>
    </row>
    <row r="104" spans="2:16" ht="15" customHeight="1" x14ac:dyDescent="0.2">
      <c r="B104" s="250" t="s">
        <v>4081</v>
      </c>
      <c r="C104" s="250" t="s">
        <v>4073</v>
      </c>
      <c r="D104" s="250" t="s">
        <v>3878</v>
      </c>
      <c r="K104" s="250">
        <v>0.55000000000000004</v>
      </c>
      <c r="L104" s="250">
        <v>11600</v>
      </c>
    </row>
    <row r="105" spans="2:16" ht="15" customHeight="1" x14ac:dyDescent="0.2">
      <c r="B105" s="250" t="s">
        <v>4082</v>
      </c>
      <c r="C105" s="250" t="s">
        <v>3883</v>
      </c>
      <c r="D105" s="250" t="s">
        <v>4078</v>
      </c>
      <c r="K105" s="250">
        <v>0.55000000000000004</v>
      </c>
      <c r="L105" s="250">
        <v>17400</v>
      </c>
    </row>
    <row r="106" spans="2:16" ht="15" customHeight="1" x14ac:dyDescent="0.2">
      <c r="B106" s="250" t="s">
        <v>4083</v>
      </c>
      <c r="C106" s="250" t="s">
        <v>3883</v>
      </c>
      <c r="D106" s="250" t="s">
        <v>4078</v>
      </c>
      <c r="K106" s="250">
        <v>0.55000000000000004</v>
      </c>
      <c r="L106" s="250">
        <v>24600</v>
      </c>
    </row>
    <row r="107" spans="2:16" ht="15" customHeight="1" x14ac:dyDescent="0.2">
      <c r="B107" s="250" t="s">
        <v>3881</v>
      </c>
      <c r="C107" s="250" t="s">
        <v>3883</v>
      </c>
      <c r="D107" s="250" t="s">
        <v>4078</v>
      </c>
      <c r="K107" s="250">
        <v>0.55000000000000004</v>
      </c>
      <c r="L107" s="250">
        <v>31000</v>
      </c>
    </row>
    <row r="108" spans="2:16" ht="15" customHeight="1" x14ac:dyDescent="0.2">
      <c r="B108" s="250" t="s">
        <v>3404</v>
      </c>
      <c r="C108" s="250" t="s">
        <v>3883</v>
      </c>
      <c r="D108" s="250" t="s">
        <v>58</v>
      </c>
      <c r="K108" s="250">
        <v>0.55000000000000004</v>
      </c>
      <c r="L108" s="250">
        <v>107</v>
      </c>
    </row>
    <row r="109" spans="2:16" ht="15" customHeight="1" x14ac:dyDescent="0.2">
      <c r="B109" s="250" t="s">
        <v>4084</v>
      </c>
      <c r="C109" s="250" t="s">
        <v>3883</v>
      </c>
      <c r="D109" s="250" t="s">
        <v>58</v>
      </c>
      <c r="K109" s="250">
        <v>0.55000000000000004</v>
      </c>
      <c r="L109" s="250">
        <v>118</v>
      </c>
    </row>
    <row r="110" spans="2:16" ht="15" customHeight="1" x14ac:dyDescent="0.2">
      <c r="B110" s="250" t="s">
        <v>3882</v>
      </c>
      <c r="C110" s="250" t="s">
        <v>4073</v>
      </c>
      <c r="D110" s="250" t="s">
        <v>58</v>
      </c>
      <c r="K110" s="250">
        <v>0.55000000000000004</v>
      </c>
      <c r="L110" s="250">
        <v>170</v>
      </c>
    </row>
    <row r="111" spans="2:16" ht="15" customHeight="1" x14ac:dyDescent="0.2">
      <c r="B111" s="250" t="s">
        <v>3405</v>
      </c>
      <c r="C111" s="250" t="s">
        <v>4073</v>
      </c>
      <c r="D111" s="250" t="s">
        <v>58</v>
      </c>
      <c r="K111" s="250">
        <v>0.55000000000000004</v>
      </c>
      <c r="L111" s="250">
        <v>420</v>
      </c>
    </row>
    <row r="112" spans="2:16" ht="15" customHeight="1" x14ac:dyDescent="0.2">
      <c r="B112" s="250" t="s">
        <v>3406</v>
      </c>
      <c r="C112" s="250" t="s">
        <v>3883</v>
      </c>
      <c r="D112" s="250" t="s">
        <v>58</v>
      </c>
      <c r="K112" s="250">
        <v>0.55000000000000004</v>
      </c>
      <c r="L112" s="250">
        <v>767</v>
      </c>
    </row>
    <row r="113" spans="2:12" ht="15" customHeight="1" x14ac:dyDescent="0.2">
      <c r="B113" s="250" t="s">
        <v>3407</v>
      </c>
      <c r="C113" s="250" t="s">
        <v>3883</v>
      </c>
      <c r="D113" s="250" t="s">
        <v>58</v>
      </c>
      <c r="K113" s="250">
        <v>0.55000000000000004</v>
      </c>
      <c r="L113" s="250">
        <v>115</v>
      </c>
    </row>
    <row r="114" spans="2:12" ht="15" customHeight="1" x14ac:dyDescent="0.2">
      <c r="B114" s="250" t="s">
        <v>3432</v>
      </c>
      <c r="C114" s="250" t="s">
        <v>3883</v>
      </c>
      <c r="D114" s="250" t="s">
        <v>58</v>
      </c>
      <c r="K114" s="250">
        <v>0.55000000000000004</v>
      </c>
      <c r="L114" s="250">
        <v>126</v>
      </c>
    </row>
    <row r="115" spans="2:12" ht="15" customHeight="1" x14ac:dyDescent="0.2">
      <c r="B115" s="250" t="s">
        <v>3440</v>
      </c>
      <c r="C115" s="250" t="s">
        <v>4073</v>
      </c>
      <c r="D115" s="250" t="s">
        <v>58</v>
      </c>
      <c r="K115" s="250">
        <v>0.55000000000000004</v>
      </c>
      <c r="L115" s="250">
        <v>180</v>
      </c>
    </row>
    <row r="116" spans="2:12" ht="15" customHeight="1" x14ac:dyDescent="0.2">
      <c r="B116" s="250" t="s">
        <v>3408</v>
      </c>
      <c r="C116" s="250" t="s">
        <v>3883</v>
      </c>
      <c r="D116" s="250" t="s">
        <v>58</v>
      </c>
      <c r="K116" s="250">
        <v>0.55000000000000004</v>
      </c>
      <c r="L116" s="250">
        <v>420</v>
      </c>
    </row>
    <row r="117" spans="2:12" ht="15" customHeight="1" x14ac:dyDescent="0.2">
      <c r="B117" s="250" t="s">
        <v>3409</v>
      </c>
      <c r="C117" s="250" t="s">
        <v>4073</v>
      </c>
      <c r="D117" s="250" t="s">
        <v>58</v>
      </c>
      <c r="K117" s="250">
        <v>0.55000000000000004</v>
      </c>
      <c r="L117" s="250">
        <v>893</v>
      </c>
    </row>
    <row r="118" spans="2:12" ht="15" customHeight="1" x14ac:dyDescent="0.2">
      <c r="B118" s="250" t="s">
        <v>3410</v>
      </c>
      <c r="C118" s="250" t="s">
        <v>3883</v>
      </c>
      <c r="D118" s="250" t="s">
        <v>58</v>
      </c>
      <c r="K118" s="250">
        <v>0.55000000000000004</v>
      </c>
      <c r="L118" s="250">
        <v>1100</v>
      </c>
    </row>
    <row r="119" spans="2:12" ht="15" customHeight="1" x14ac:dyDescent="0.2">
      <c r="B119" s="250" t="s">
        <v>3411</v>
      </c>
      <c r="C119" s="250" t="s">
        <v>4073</v>
      </c>
      <c r="D119" s="250" t="s">
        <v>58</v>
      </c>
      <c r="K119" s="250">
        <v>0.55000000000000004</v>
      </c>
      <c r="L119" s="250">
        <v>2758</v>
      </c>
    </row>
    <row r="120" spans="2:12" ht="15" customHeight="1" x14ac:dyDescent="0.2">
      <c r="B120" s="250" t="s">
        <v>4085</v>
      </c>
      <c r="C120" s="250" t="s">
        <v>4073</v>
      </c>
      <c r="D120" s="250" t="s">
        <v>58</v>
      </c>
      <c r="K120" s="250">
        <v>0.55000000000000004</v>
      </c>
      <c r="L120" s="250">
        <v>149</v>
      </c>
    </row>
    <row r="121" spans="2:12" ht="15" customHeight="1" x14ac:dyDescent="0.2">
      <c r="B121" s="250" t="s">
        <v>3433</v>
      </c>
      <c r="C121" s="250" t="s">
        <v>4073</v>
      </c>
      <c r="D121" s="250" t="s">
        <v>58</v>
      </c>
      <c r="K121" s="250">
        <v>0.55000000000000004</v>
      </c>
      <c r="L121" s="250">
        <v>168</v>
      </c>
    </row>
    <row r="122" spans="2:12" ht="15" customHeight="1" x14ac:dyDescent="0.2">
      <c r="B122" s="250" t="s">
        <v>3441</v>
      </c>
      <c r="C122" s="250" t="s">
        <v>4073</v>
      </c>
      <c r="D122" s="250" t="s">
        <v>58</v>
      </c>
      <c r="K122" s="250">
        <v>0.55000000000000004</v>
      </c>
      <c r="L122" s="250">
        <v>252</v>
      </c>
    </row>
    <row r="123" spans="2:12" ht="15" customHeight="1" x14ac:dyDescent="0.2">
      <c r="B123" s="250" t="s">
        <v>3412</v>
      </c>
      <c r="C123" s="250" t="s">
        <v>3883</v>
      </c>
      <c r="D123" s="250" t="s">
        <v>58</v>
      </c>
      <c r="K123" s="250">
        <v>0.55000000000000004</v>
      </c>
      <c r="L123" s="250">
        <v>536</v>
      </c>
    </row>
    <row r="124" spans="2:12" ht="15" customHeight="1" x14ac:dyDescent="0.2">
      <c r="B124" s="250" t="s">
        <v>3413</v>
      </c>
      <c r="C124" s="250" t="s">
        <v>3883</v>
      </c>
      <c r="D124" s="250" t="s">
        <v>58</v>
      </c>
      <c r="K124" s="250">
        <v>0.55000000000000004</v>
      </c>
      <c r="L124" s="250">
        <v>998</v>
      </c>
    </row>
    <row r="125" spans="2:12" ht="15" customHeight="1" x14ac:dyDescent="0.2">
      <c r="B125" s="250" t="s">
        <v>3414</v>
      </c>
      <c r="C125" s="250" t="s">
        <v>4073</v>
      </c>
      <c r="D125" s="250" t="s">
        <v>58</v>
      </c>
      <c r="K125" s="250">
        <v>0.55000000000000004</v>
      </c>
      <c r="L125" s="250">
        <v>149</v>
      </c>
    </row>
    <row r="126" spans="2:12" ht="15" customHeight="1" x14ac:dyDescent="0.2">
      <c r="B126" s="250" t="s">
        <v>3434</v>
      </c>
      <c r="C126" s="250" t="s">
        <v>4073</v>
      </c>
      <c r="D126" s="250" t="s">
        <v>58</v>
      </c>
      <c r="K126" s="250">
        <v>0.55000000000000004</v>
      </c>
      <c r="L126" s="250">
        <v>168</v>
      </c>
    </row>
    <row r="127" spans="2:12" ht="15" customHeight="1" x14ac:dyDescent="0.2">
      <c r="B127" s="250" t="s">
        <v>3442</v>
      </c>
      <c r="C127" s="250" t="s">
        <v>4073</v>
      </c>
      <c r="D127" s="250" t="s">
        <v>58</v>
      </c>
      <c r="K127" s="250">
        <v>0.55000000000000004</v>
      </c>
      <c r="L127" s="250">
        <v>252</v>
      </c>
    </row>
    <row r="128" spans="2:12" ht="15" customHeight="1" x14ac:dyDescent="0.2">
      <c r="B128" s="250" t="s">
        <v>3415</v>
      </c>
      <c r="C128" s="250" t="s">
        <v>4073</v>
      </c>
      <c r="D128" s="250" t="s">
        <v>58</v>
      </c>
      <c r="K128" s="250">
        <v>0.55000000000000004</v>
      </c>
      <c r="L128" s="250">
        <v>683</v>
      </c>
    </row>
    <row r="129" spans="2:15" ht="15" customHeight="1" x14ac:dyDescent="0.2">
      <c r="B129" s="250" t="s">
        <v>3416</v>
      </c>
      <c r="C129" s="250" t="s">
        <v>4073</v>
      </c>
      <c r="D129" s="250" t="s">
        <v>58</v>
      </c>
      <c r="K129" s="250">
        <v>0.55000000000000004</v>
      </c>
      <c r="L129" s="250">
        <v>1155</v>
      </c>
    </row>
    <row r="130" spans="2:15" ht="15" customHeight="1" x14ac:dyDescent="0.2">
      <c r="B130" s="250" t="s">
        <v>3417</v>
      </c>
      <c r="C130" s="250" t="s">
        <v>3883</v>
      </c>
      <c r="D130" s="250" t="s">
        <v>58</v>
      </c>
      <c r="K130" s="250">
        <v>0.55000000000000004</v>
      </c>
      <c r="L130" s="250">
        <v>1477</v>
      </c>
    </row>
    <row r="131" spans="2:15" ht="15" customHeight="1" x14ac:dyDescent="0.2">
      <c r="B131" s="250" t="s">
        <v>3418</v>
      </c>
      <c r="C131" s="250" t="s">
        <v>3883</v>
      </c>
      <c r="D131" s="250" t="s">
        <v>58</v>
      </c>
      <c r="K131" s="250">
        <v>0.55000000000000004</v>
      </c>
      <c r="L131" s="250">
        <v>4250</v>
      </c>
      <c r="O131" s="390"/>
    </row>
    <row r="132" spans="2:15" ht="15" customHeight="1" x14ac:dyDescent="0.2">
      <c r="B132" s="250" t="s">
        <v>3448</v>
      </c>
      <c r="C132" s="250" t="s">
        <v>3883</v>
      </c>
      <c r="D132" s="250" t="s">
        <v>58</v>
      </c>
      <c r="K132" s="250">
        <v>0.55000000000000004</v>
      </c>
      <c r="L132" s="250">
        <v>137</v>
      </c>
      <c r="N132" s="390"/>
      <c r="O132" s="390"/>
    </row>
    <row r="133" spans="2:15" ht="15" customHeight="1" x14ac:dyDescent="0.2">
      <c r="B133" s="250" t="s">
        <v>3449</v>
      </c>
      <c r="C133" s="250" t="s">
        <v>3883</v>
      </c>
      <c r="D133" s="250" t="s">
        <v>58</v>
      </c>
      <c r="K133" s="250">
        <v>0.55000000000000004</v>
      </c>
      <c r="L133" s="250">
        <v>148</v>
      </c>
      <c r="N133" s="390"/>
      <c r="O133" s="390"/>
    </row>
    <row r="134" spans="2:15" ht="15" customHeight="1" x14ac:dyDescent="0.2">
      <c r="B134" s="250" t="s">
        <v>3450</v>
      </c>
      <c r="C134" s="250" t="s">
        <v>3883</v>
      </c>
      <c r="D134" s="250" t="s">
        <v>58</v>
      </c>
      <c r="K134" s="250">
        <v>0.55000000000000004</v>
      </c>
      <c r="L134" s="250">
        <v>200</v>
      </c>
      <c r="N134" s="390"/>
      <c r="O134" s="390"/>
    </row>
    <row r="135" spans="2:15" ht="15" customHeight="1" x14ac:dyDescent="0.2">
      <c r="B135" s="250" t="s">
        <v>3451</v>
      </c>
      <c r="C135" s="250" t="s">
        <v>3883</v>
      </c>
      <c r="D135" s="250" t="s">
        <v>58</v>
      </c>
      <c r="K135" s="250">
        <v>0.55000000000000004</v>
      </c>
      <c r="L135" s="250">
        <v>500</v>
      </c>
    </row>
    <row r="136" spans="2:15" ht="15" customHeight="1" x14ac:dyDescent="0.2">
      <c r="B136" s="250" t="s">
        <v>3452</v>
      </c>
      <c r="C136" s="250" t="s">
        <v>4073</v>
      </c>
      <c r="D136" s="250" t="s">
        <v>58</v>
      </c>
      <c r="K136" s="250">
        <v>0.55000000000000004</v>
      </c>
      <c r="L136" s="250">
        <v>847</v>
      </c>
    </row>
    <row r="137" spans="2:15" ht="15" customHeight="1" x14ac:dyDescent="0.2">
      <c r="B137" s="250" t="s">
        <v>3453</v>
      </c>
      <c r="C137" s="250" t="s">
        <v>3883</v>
      </c>
      <c r="D137" s="250" t="s">
        <v>58</v>
      </c>
      <c r="K137" s="250">
        <v>0.55000000000000004</v>
      </c>
      <c r="L137" s="250">
        <v>145</v>
      </c>
    </row>
    <row r="138" spans="2:15" ht="15" customHeight="1" x14ac:dyDescent="0.2">
      <c r="B138" s="250" t="s">
        <v>3454</v>
      </c>
      <c r="C138" s="250" t="s">
        <v>4073</v>
      </c>
      <c r="D138" s="250" t="s">
        <v>58</v>
      </c>
      <c r="K138" s="250">
        <v>0.55000000000000004</v>
      </c>
      <c r="L138" s="250">
        <v>156</v>
      </c>
    </row>
    <row r="139" spans="2:15" ht="15" customHeight="1" x14ac:dyDescent="0.2">
      <c r="B139" s="250" t="s">
        <v>3455</v>
      </c>
      <c r="C139" s="250" t="s">
        <v>3883</v>
      </c>
      <c r="D139" s="250" t="s">
        <v>58</v>
      </c>
      <c r="K139" s="250">
        <v>0.55000000000000004</v>
      </c>
      <c r="L139" s="250">
        <v>210</v>
      </c>
    </row>
    <row r="140" spans="2:15" ht="15" customHeight="1" x14ac:dyDescent="0.2">
      <c r="B140" s="250" t="s">
        <v>3456</v>
      </c>
      <c r="C140" s="250" t="s">
        <v>4073</v>
      </c>
      <c r="D140" s="250" t="s">
        <v>58</v>
      </c>
      <c r="K140" s="250">
        <v>0.55000000000000004</v>
      </c>
      <c r="L140" s="250">
        <v>500</v>
      </c>
    </row>
    <row r="141" spans="2:15" ht="15" customHeight="1" x14ac:dyDescent="0.2">
      <c r="B141" s="250" t="s">
        <v>3457</v>
      </c>
      <c r="C141" s="250" t="s">
        <v>3883</v>
      </c>
      <c r="D141" s="250" t="s">
        <v>58</v>
      </c>
      <c r="K141" s="250">
        <v>0.55000000000000004</v>
      </c>
      <c r="L141" s="250">
        <v>980</v>
      </c>
    </row>
    <row r="142" spans="2:15" ht="15" customHeight="1" x14ac:dyDescent="0.2">
      <c r="B142" s="250" t="s">
        <v>3458</v>
      </c>
      <c r="C142" s="250" t="s">
        <v>4073</v>
      </c>
      <c r="D142" s="250" t="s">
        <v>58</v>
      </c>
      <c r="K142" s="250">
        <v>0.55000000000000004</v>
      </c>
      <c r="L142" s="250">
        <v>1200</v>
      </c>
    </row>
    <row r="143" spans="2:15" ht="15" customHeight="1" x14ac:dyDescent="0.2">
      <c r="B143" s="250" t="s">
        <v>3419</v>
      </c>
      <c r="C143" s="250" t="s">
        <v>4073</v>
      </c>
      <c r="D143" s="250" t="s">
        <v>58</v>
      </c>
      <c r="K143" s="250">
        <v>0.55000000000000004</v>
      </c>
      <c r="L143" s="250">
        <v>147</v>
      </c>
      <c r="N143" s="390"/>
      <c r="O143" s="390"/>
    </row>
    <row r="144" spans="2:15" ht="15" customHeight="1" x14ac:dyDescent="0.2">
      <c r="B144" s="250" t="s">
        <v>3435</v>
      </c>
      <c r="C144" s="250" t="s">
        <v>3883</v>
      </c>
      <c r="D144" s="250" t="s">
        <v>58</v>
      </c>
      <c r="K144" s="250">
        <v>0.55000000000000004</v>
      </c>
      <c r="L144" s="250">
        <v>158</v>
      </c>
      <c r="N144" s="390"/>
      <c r="O144" s="390"/>
    </row>
    <row r="145" spans="2:15" ht="15" customHeight="1" x14ac:dyDescent="0.2">
      <c r="B145" s="250" t="s">
        <v>3443</v>
      </c>
      <c r="C145" s="250" t="s">
        <v>4073</v>
      </c>
      <c r="D145" s="250" t="s">
        <v>58</v>
      </c>
      <c r="K145" s="250">
        <v>0.55000000000000004</v>
      </c>
      <c r="L145" s="250">
        <v>210</v>
      </c>
      <c r="N145" s="390"/>
      <c r="O145" s="390"/>
    </row>
    <row r="146" spans="2:15" ht="15" customHeight="1" x14ac:dyDescent="0.2">
      <c r="B146" s="250" t="s">
        <v>3420</v>
      </c>
      <c r="C146" s="250" t="s">
        <v>3883</v>
      </c>
      <c r="D146" s="250" t="s">
        <v>58</v>
      </c>
      <c r="K146" s="250">
        <v>0.55000000000000004</v>
      </c>
      <c r="L146" s="250">
        <v>520</v>
      </c>
    </row>
    <row r="147" spans="2:15" ht="15" customHeight="1" x14ac:dyDescent="0.2">
      <c r="B147" s="250" t="s">
        <v>3421</v>
      </c>
      <c r="C147" s="250" t="s">
        <v>4073</v>
      </c>
      <c r="D147" s="250" t="s">
        <v>58</v>
      </c>
      <c r="K147" s="250">
        <v>0.55000000000000004</v>
      </c>
      <c r="L147" s="250">
        <v>867</v>
      </c>
    </row>
    <row r="148" spans="2:15" ht="15" customHeight="1" x14ac:dyDescent="0.2">
      <c r="B148" s="250" t="s">
        <v>3422</v>
      </c>
      <c r="C148" s="250" t="s">
        <v>3883</v>
      </c>
      <c r="D148" s="250" t="s">
        <v>58</v>
      </c>
      <c r="K148" s="250">
        <v>0.55000000000000004</v>
      </c>
      <c r="L148" s="250">
        <v>155</v>
      </c>
    </row>
    <row r="149" spans="2:15" ht="15" customHeight="1" x14ac:dyDescent="0.2">
      <c r="B149" s="250" t="s">
        <v>3436</v>
      </c>
      <c r="C149" s="250" t="s">
        <v>4073</v>
      </c>
      <c r="D149" s="250" t="s">
        <v>58</v>
      </c>
      <c r="K149" s="250">
        <v>0.55000000000000004</v>
      </c>
      <c r="L149" s="250">
        <v>166</v>
      </c>
    </row>
    <row r="150" spans="2:15" ht="15" customHeight="1" x14ac:dyDescent="0.2">
      <c r="B150" s="250" t="s">
        <v>3444</v>
      </c>
      <c r="C150" s="250" t="s">
        <v>4073</v>
      </c>
      <c r="D150" s="250" t="s">
        <v>58</v>
      </c>
      <c r="K150" s="250">
        <v>0.55000000000000004</v>
      </c>
      <c r="L150" s="250">
        <v>220</v>
      </c>
    </row>
    <row r="151" spans="2:15" ht="15" customHeight="1" x14ac:dyDescent="0.2">
      <c r="B151" s="250" t="s">
        <v>3423</v>
      </c>
      <c r="C151" s="250" t="s">
        <v>4073</v>
      </c>
      <c r="D151" s="250" t="s">
        <v>58</v>
      </c>
      <c r="K151" s="250">
        <v>0.55000000000000004</v>
      </c>
      <c r="L151" s="250">
        <v>520</v>
      </c>
    </row>
    <row r="152" spans="2:15" ht="15" customHeight="1" x14ac:dyDescent="0.2">
      <c r="B152" s="250" t="s">
        <v>3424</v>
      </c>
      <c r="C152" s="250" t="s">
        <v>3883</v>
      </c>
      <c r="D152" s="250" t="s">
        <v>58</v>
      </c>
      <c r="K152" s="250">
        <v>0.55000000000000004</v>
      </c>
      <c r="L152" s="250">
        <v>1030</v>
      </c>
    </row>
    <row r="153" spans="2:15" ht="15" customHeight="1" x14ac:dyDescent="0.2">
      <c r="B153" s="250" t="s">
        <v>3425</v>
      </c>
      <c r="C153" s="250" t="s">
        <v>4073</v>
      </c>
      <c r="D153" s="250" t="s">
        <v>58</v>
      </c>
      <c r="K153" s="250">
        <v>0.55000000000000004</v>
      </c>
      <c r="L153" s="250">
        <v>1250</v>
      </c>
    </row>
    <row r="154" spans="2:15" ht="15" customHeight="1" x14ac:dyDescent="0.2">
      <c r="B154" s="250" t="s">
        <v>3437</v>
      </c>
      <c r="C154" s="250" t="s">
        <v>4073</v>
      </c>
      <c r="D154" s="250" t="s">
        <v>1553</v>
      </c>
      <c r="K154" s="250">
        <v>0.55000000000000004</v>
      </c>
      <c r="L154" s="250">
        <v>305</v>
      </c>
    </row>
    <row r="155" spans="2:15" ht="15" customHeight="1" x14ac:dyDescent="0.2">
      <c r="B155" s="250" t="s">
        <v>3445</v>
      </c>
      <c r="C155" s="250" t="s">
        <v>3883</v>
      </c>
      <c r="D155" s="250" t="s">
        <v>1553</v>
      </c>
      <c r="K155" s="250">
        <v>0.55000000000000004</v>
      </c>
      <c r="L155" s="250">
        <v>380</v>
      </c>
    </row>
    <row r="156" spans="2:15" ht="15" customHeight="1" x14ac:dyDescent="0.2">
      <c r="B156" s="250" t="s">
        <v>3426</v>
      </c>
      <c r="C156" s="250" t="s">
        <v>4073</v>
      </c>
      <c r="D156" s="250" t="s">
        <v>1553</v>
      </c>
      <c r="K156" s="250">
        <v>0.55000000000000004</v>
      </c>
      <c r="L156" s="250">
        <v>920</v>
      </c>
    </row>
    <row r="157" spans="2:15" ht="15" customHeight="1" x14ac:dyDescent="0.2">
      <c r="B157" s="250" t="s">
        <v>3427</v>
      </c>
      <c r="C157" s="250" t="s">
        <v>3883</v>
      </c>
      <c r="D157" s="250" t="s">
        <v>1553</v>
      </c>
      <c r="K157" s="250">
        <v>0.55000000000000004</v>
      </c>
      <c r="L157" s="250">
        <v>1700</v>
      </c>
    </row>
    <row r="158" spans="2:15" ht="15" customHeight="1" x14ac:dyDescent="0.2">
      <c r="B158" s="250" t="s">
        <v>3438</v>
      </c>
      <c r="C158" s="250" t="s">
        <v>3883</v>
      </c>
      <c r="D158" s="250" t="s">
        <v>1553</v>
      </c>
      <c r="K158" s="250">
        <v>0.55000000000000004</v>
      </c>
      <c r="L158" s="250">
        <v>365</v>
      </c>
    </row>
    <row r="159" spans="2:15" ht="15" customHeight="1" x14ac:dyDescent="0.2">
      <c r="B159" s="250" t="s">
        <v>3446</v>
      </c>
      <c r="C159" s="250" t="s">
        <v>4073</v>
      </c>
      <c r="D159" s="250" t="s">
        <v>1553</v>
      </c>
      <c r="K159" s="250">
        <v>0.55000000000000004</v>
      </c>
      <c r="L159" s="250">
        <v>445</v>
      </c>
    </row>
    <row r="160" spans="2:15" ht="15" customHeight="1" x14ac:dyDescent="0.2">
      <c r="B160" s="250" t="s">
        <v>3428</v>
      </c>
      <c r="C160" s="250" t="s">
        <v>4073</v>
      </c>
      <c r="D160" s="250" t="s">
        <v>1553</v>
      </c>
      <c r="K160" s="250">
        <v>0.55000000000000004</v>
      </c>
      <c r="L160" s="250">
        <v>1100</v>
      </c>
    </row>
    <row r="161" spans="2:14" ht="15" customHeight="1" x14ac:dyDescent="0.2">
      <c r="B161" s="250" t="s">
        <v>3429</v>
      </c>
      <c r="C161" s="250" t="s">
        <v>3883</v>
      </c>
      <c r="D161" s="250" t="s">
        <v>1553</v>
      </c>
      <c r="K161" s="250">
        <v>0.55000000000000004</v>
      </c>
      <c r="L161" s="250">
        <v>1920</v>
      </c>
    </row>
    <row r="162" spans="2:14" ht="15" customHeight="1" x14ac:dyDescent="0.2">
      <c r="B162" s="250" t="s">
        <v>3439</v>
      </c>
      <c r="C162" s="250" t="s">
        <v>4073</v>
      </c>
      <c r="D162" s="250" t="s">
        <v>1553</v>
      </c>
      <c r="K162" s="250">
        <v>0.55000000000000004</v>
      </c>
      <c r="L162" s="250">
        <v>450</v>
      </c>
    </row>
    <row r="163" spans="2:14" ht="15" customHeight="1" x14ac:dyDescent="0.2">
      <c r="B163" s="250" t="s">
        <v>3447</v>
      </c>
      <c r="C163" s="250" t="s">
        <v>3883</v>
      </c>
      <c r="D163" s="250" t="s">
        <v>1553</v>
      </c>
      <c r="K163" s="250">
        <v>0.55000000000000004</v>
      </c>
      <c r="L163" s="250">
        <v>550</v>
      </c>
    </row>
    <row r="164" spans="2:14" ht="15" customHeight="1" x14ac:dyDescent="0.2">
      <c r="B164" s="250" t="s">
        <v>3430</v>
      </c>
      <c r="C164" s="250" t="s">
        <v>4073</v>
      </c>
      <c r="D164" s="250" t="s">
        <v>1553</v>
      </c>
      <c r="K164" s="250">
        <v>0.55000000000000004</v>
      </c>
      <c r="L164" s="250">
        <v>1245</v>
      </c>
    </row>
    <row r="165" spans="2:14" ht="15" customHeight="1" x14ac:dyDescent="0.2">
      <c r="B165" s="250" t="s">
        <v>3431</v>
      </c>
      <c r="C165" s="250" t="s">
        <v>3883</v>
      </c>
      <c r="D165" s="250" t="s">
        <v>1553</v>
      </c>
      <c r="K165" s="250">
        <v>0.55000000000000004</v>
      </c>
      <c r="L165" s="250">
        <v>2070</v>
      </c>
    </row>
    <row r="166" spans="2:14" ht="15" customHeight="1" x14ac:dyDescent="0.2">
      <c r="B166" s="250" t="s">
        <v>1554</v>
      </c>
      <c r="C166" s="250" t="s">
        <v>3883</v>
      </c>
      <c r="D166" s="250" t="s">
        <v>1555</v>
      </c>
      <c r="K166" s="250">
        <v>0.55000000000000004</v>
      </c>
      <c r="L166" s="250">
        <v>8</v>
      </c>
      <c r="N166" s="250">
        <v>1</v>
      </c>
    </row>
    <row r="167" spans="2:14" ht="15" customHeight="1" x14ac:dyDescent="0.2">
      <c r="B167" s="250" t="s">
        <v>1556</v>
      </c>
      <c r="C167" s="250" t="s">
        <v>3883</v>
      </c>
      <c r="D167" s="250" t="s">
        <v>1555</v>
      </c>
      <c r="K167" s="250">
        <v>0.55000000000000004</v>
      </c>
      <c r="L167" s="250">
        <v>8</v>
      </c>
      <c r="N167" s="250">
        <v>1</v>
      </c>
    </row>
    <row r="168" spans="2:14" ht="15" customHeight="1" x14ac:dyDescent="0.2">
      <c r="B168" s="250" t="s">
        <v>1557</v>
      </c>
      <c r="C168" s="250" t="s">
        <v>4073</v>
      </c>
      <c r="D168" s="250" t="s">
        <v>1555</v>
      </c>
      <c r="K168" s="250">
        <v>0.55000000000000004</v>
      </c>
      <c r="L168" s="250">
        <v>8</v>
      </c>
      <c r="N168" s="250">
        <v>1</v>
      </c>
    </row>
    <row r="169" spans="2:14" ht="15" customHeight="1" x14ac:dyDescent="0.2">
      <c r="B169" s="250" t="s">
        <v>1558</v>
      </c>
      <c r="C169" s="250" t="s">
        <v>4073</v>
      </c>
      <c r="D169" s="250" t="s">
        <v>1555</v>
      </c>
      <c r="K169" s="250">
        <v>0.55000000000000004</v>
      </c>
      <c r="L169" s="250">
        <v>8</v>
      </c>
      <c r="N169" s="250">
        <v>1</v>
      </c>
    </row>
    <row r="170" spans="2:14" ht="15" customHeight="1" x14ac:dyDescent="0.2">
      <c r="B170" s="250" t="s">
        <v>1559</v>
      </c>
      <c r="C170" s="250" t="s">
        <v>3883</v>
      </c>
      <c r="D170" s="250" t="s">
        <v>1555</v>
      </c>
      <c r="K170" s="250">
        <v>0.55000000000000004</v>
      </c>
      <c r="L170" s="250">
        <v>8</v>
      </c>
      <c r="N170" s="250">
        <v>1</v>
      </c>
    </row>
    <row r="171" spans="2:14" ht="15" customHeight="1" x14ac:dyDescent="0.2">
      <c r="B171" s="250" t="s">
        <v>1560</v>
      </c>
      <c r="C171" s="250" t="s">
        <v>3883</v>
      </c>
      <c r="D171" s="250" t="s">
        <v>1555</v>
      </c>
      <c r="K171" s="250">
        <v>0.55000000000000004</v>
      </c>
      <c r="L171" s="250">
        <v>8</v>
      </c>
      <c r="N171" s="250">
        <v>1</v>
      </c>
    </row>
    <row r="172" spans="2:14" ht="15" customHeight="1" x14ac:dyDescent="0.2">
      <c r="B172" s="250" t="s">
        <v>1561</v>
      </c>
      <c r="C172" s="250" t="s">
        <v>3883</v>
      </c>
      <c r="D172" s="250" t="s">
        <v>1555</v>
      </c>
      <c r="K172" s="250">
        <v>0.55000000000000004</v>
      </c>
      <c r="L172" s="250">
        <v>8</v>
      </c>
      <c r="N172" s="250">
        <v>1</v>
      </c>
    </row>
    <row r="173" spans="2:14" ht="15" customHeight="1" x14ac:dyDescent="0.2">
      <c r="B173" s="250" t="s">
        <v>1562</v>
      </c>
      <c r="C173" s="250" t="s">
        <v>3883</v>
      </c>
      <c r="D173" s="250" t="s">
        <v>1555</v>
      </c>
      <c r="K173" s="250">
        <v>0.55000000000000004</v>
      </c>
      <c r="L173" s="250">
        <v>8</v>
      </c>
      <c r="N173" s="250">
        <v>1</v>
      </c>
    </row>
    <row r="174" spans="2:14" ht="15" customHeight="1" x14ac:dyDescent="0.2">
      <c r="B174" s="250" t="s">
        <v>1563</v>
      </c>
      <c r="C174" s="250" t="s">
        <v>4073</v>
      </c>
      <c r="D174" s="250" t="s">
        <v>1555</v>
      </c>
      <c r="K174" s="250">
        <v>0.55000000000000004</v>
      </c>
      <c r="L174" s="250">
        <v>8</v>
      </c>
      <c r="N174" s="250">
        <v>1</v>
      </c>
    </row>
    <row r="175" spans="2:14" ht="15" customHeight="1" x14ac:dyDescent="0.2">
      <c r="B175" s="250" t="s">
        <v>1564</v>
      </c>
      <c r="C175" s="250" t="s">
        <v>3883</v>
      </c>
      <c r="D175" s="250" t="s">
        <v>1555</v>
      </c>
      <c r="K175" s="250">
        <v>0.55000000000000004</v>
      </c>
      <c r="L175" s="250">
        <v>8</v>
      </c>
      <c r="N175" s="250">
        <v>1</v>
      </c>
    </row>
    <row r="176" spans="2:14" ht="15" customHeight="1" x14ac:dyDescent="0.2">
      <c r="B176" s="250" t="s">
        <v>1565</v>
      </c>
      <c r="C176" s="250" t="s">
        <v>3883</v>
      </c>
      <c r="D176" s="250" t="s">
        <v>1555</v>
      </c>
      <c r="K176" s="250">
        <v>0.55000000000000004</v>
      </c>
      <c r="L176" s="250">
        <v>8</v>
      </c>
      <c r="N176" s="250">
        <v>1</v>
      </c>
    </row>
    <row r="177" spans="2:14" ht="15" customHeight="1" x14ac:dyDescent="0.2">
      <c r="B177" s="250" t="s">
        <v>1566</v>
      </c>
      <c r="C177" s="250" t="s">
        <v>4073</v>
      </c>
      <c r="D177" s="250" t="s">
        <v>1555</v>
      </c>
      <c r="K177" s="250">
        <v>0.55000000000000004</v>
      </c>
      <c r="L177" s="250">
        <v>8</v>
      </c>
      <c r="N177" s="250">
        <v>1</v>
      </c>
    </row>
    <row r="178" spans="2:14" ht="15" customHeight="1" x14ac:dyDescent="0.2">
      <c r="B178" s="250" t="s">
        <v>1567</v>
      </c>
      <c r="C178" s="250" t="s">
        <v>4073</v>
      </c>
      <c r="D178" s="250" t="s">
        <v>1555</v>
      </c>
      <c r="K178" s="250">
        <v>0.55000000000000004</v>
      </c>
      <c r="L178" s="250">
        <v>16</v>
      </c>
      <c r="N178" s="250">
        <v>2</v>
      </c>
    </row>
    <row r="179" spans="2:14" ht="15" customHeight="1" x14ac:dyDescent="0.2">
      <c r="B179" s="250" t="s">
        <v>1568</v>
      </c>
      <c r="C179" s="250" t="s">
        <v>3883</v>
      </c>
      <c r="D179" s="250" t="s">
        <v>1555</v>
      </c>
      <c r="K179" s="250">
        <v>0.55000000000000004</v>
      </c>
      <c r="L179" s="250">
        <v>16</v>
      </c>
      <c r="N179" s="250">
        <v>2</v>
      </c>
    </row>
    <row r="180" spans="2:14" ht="15" customHeight="1" x14ac:dyDescent="0.2">
      <c r="B180" s="250" t="s">
        <v>1569</v>
      </c>
      <c r="C180" s="250" t="s">
        <v>4073</v>
      </c>
      <c r="D180" s="250" t="s">
        <v>1555</v>
      </c>
      <c r="K180" s="250">
        <v>0.55000000000000004</v>
      </c>
      <c r="L180" s="250">
        <v>16</v>
      </c>
      <c r="N180" s="250">
        <v>2</v>
      </c>
    </row>
    <row r="181" spans="2:14" ht="15" customHeight="1" x14ac:dyDescent="0.2">
      <c r="B181" s="250" t="s">
        <v>1570</v>
      </c>
      <c r="C181" s="250" t="s">
        <v>4073</v>
      </c>
      <c r="D181" s="250" t="s">
        <v>1555</v>
      </c>
      <c r="K181" s="250">
        <v>0.55000000000000004</v>
      </c>
      <c r="L181" s="250">
        <v>16</v>
      </c>
      <c r="N181" s="250">
        <v>2</v>
      </c>
    </row>
    <row r="182" spans="2:14" ht="15" customHeight="1" x14ac:dyDescent="0.2">
      <c r="B182" s="250" t="s">
        <v>1571</v>
      </c>
      <c r="C182" s="250" t="s">
        <v>4073</v>
      </c>
      <c r="D182" s="250" t="s">
        <v>1555</v>
      </c>
      <c r="K182" s="250">
        <v>0.55000000000000004</v>
      </c>
      <c r="L182" s="250">
        <v>16</v>
      </c>
      <c r="N182" s="250">
        <v>2</v>
      </c>
    </row>
    <row r="183" spans="2:14" ht="15" customHeight="1" x14ac:dyDescent="0.2">
      <c r="B183" s="250" t="s">
        <v>1572</v>
      </c>
      <c r="C183" s="250" t="s">
        <v>3883</v>
      </c>
      <c r="D183" s="250" t="s">
        <v>1555</v>
      </c>
      <c r="K183" s="250">
        <v>0.55000000000000004</v>
      </c>
      <c r="L183" s="250">
        <v>16</v>
      </c>
      <c r="N183" s="250">
        <v>2</v>
      </c>
    </row>
    <row r="184" spans="2:14" ht="15" customHeight="1" x14ac:dyDescent="0.2">
      <c r="B184" s="250" t="s">
        <v>1573</v>
      </c>
      <c r="C184" s="250" t="s">
        <v>4073</v>
      </c>
      <c r="D184" s="250" t="s">
        <v>1555</v>
      </c>
      <c r="K184" s="250">
        <v>0.55000000000000004</v>
      </c>
      <c r="L184" s="250">
        <v>16</v>
      </c>
      <c r="N184" s="250">
        <v>2</v>
      </c>
    </row>
    <row r="185" spans="2:14" ht="15" customHeight="1" x14ac:dyDescent="0.2">
      <c r="B185" s="250" t="s">
        <v>1574</v>
      </c>
      <c r="C185" s="250" t="s">
        <v>4073</v>
      </c>
      <c r="D185" s="250" t="s">
        <v>1555</v>
      </c>
      <c r="K185" s="250">
        <v>0.55000000000000004</v>
      </c>
      <c r="L185" s="250">
        <v>16</v>
      </c>
      <c r="N185" s="250">
        <v>2</v>
      </c>
    </row>
    <row r="186" spans="2:14" ht="15" customHeight="1" x14ac:dyDescent="0.2">
      <c r="B186" s="250" t="s">
        <v>1575</v>
      </c>
      <c r="C186" s="250" t="s">
        <v>3883</v>
      </c>
      <c r="D186" s="250" t="s">
        <v>1555</v>
      </c>
      <c r="K186" s="250">
        <v>0.55000000000000004</v>
      </c>
      <c r="L186" s="250">
        <v>16</v>
      </c>
      <c r="N186" s="250">
        <v>2</v>
      </c>
    </row>
    <row r="187" spans="2:14" ht="15" customHeight="1" x14ac:dyDescent="0.2">
      <c r="B187" s="250" t="s">
        <v>1576</v>
      </c>
      <c r="C187" s="250" t="s">
        <v>4073</v>
      </c>
      <c r="D187" s="250" t="s">
        <v>1555</v>
      </c>
      <c r="K187" s="250">
        <v>0.55000000000000004</v>
      </c>
      <c r="L187" s="250">
        <v>16</v>
      </c>
      <c r="N187" s="250">
        <v>2</v>
      </c>
    </row>
    <row r="188" spans="2:14" ht="15" customHeight="1" x14ac:dyDescent="0.2">
      <c r="B188" s="250" t="s">
        <v>1577</v>
      </c>
      <c r="C188" s="250" t="s">
        <v>4073</v>
      </c>
      <c r="D188" s="250" t="s">
        <v>1555</v>
      </c>
      <c r="K188" s="250">
        <v>0.55000000000000004</v>
      </c>
      <c r="L188" s="250">
        <v>24</v>
      </c>
      <c r="N188" s="250">
        <v>3</v>
      </c>
    </row>
    <row r="189" spans="2:14" ht="15" customHeight="1" x14ac:dyDescent="0.2">
      <c r="B189" s="250" t="s">
        <v>1578</v>
      </c>
      <c r="C189" s="250" t="s">
        <v>3883</v>
      </c>
      <c r="D189" s="250" t="s">
        <v>1555</v>
      </c>
      <c r="K189" s="250">
        <v>0.55000000000000004</v>
      </c>
      <c r="L189" s="250">
        <v>24</v>
      </c>
      <c r="N189" s="250">
        <v>3</v>
      </c>
    </row>
    <row r="190" spans="2:14" ht="15" customHeight="1" x14ac:dyDescent="0.2">
      <c r="B190" s="250" t="s">
        <v>1579</v>
      </c>
      <c r="C190" s="250" t="s">
        <v>4073</v>
      </c>
      <c r="D190" s="250" t="s">
        <v>1555</v>
      </c>
      <c r="K190" s="250">
        <v>0.55000000000000004</v>
      </c>
      <c r="L190" s="250">
        <v>24</v>
      </c>
      <c r="N190" s="250">
        <v>3</v>
      </c>
    </row>
    <row r="191" spans="2:14" ht="15" customHeight="1" x14ac:dyDescent="0.2">
      <c r="B191" s="250" t="s">
        <v>1580</v>
      </c>
      <c r="C191" s="250" t="s">
        <v>4073</v>
      </c>
      <c r="D191" s="250" t="s">
        <v>1555</v>
      </c>
      <c r="K191" s="250">
        <v>0.55000000000000004</v>
      </c>
      <c r="L191" s="250">
        <v>24</v>
      </c>
      <c r="N191" s="250">
        <v>3</v>
      </c>
    </row>
    <row r="192" spans="2:14" ht="15" customHeight="1" x14ac:dyDescent="0.2">
      <c r="B192" s="250" t="s">
        <v>1581</v>
      </c>
      <c r="C192" s="250" t="s">
        <v>3883</v>
      </c>
      <c r="D192" s="250" t="s">
        <v>1555</v>
      </c>
      <c r="K192" s="250">
        <v>0.55000000000000004</v>
      </c>
      <c r="L192" s="250">
        <v>24</v>
      </c>
      <c r="N192" s="250">
        <v>3</v>
      </c>
    </row>
    <row r="193" spans="2:14" ht="15" customHeight="1" x14ac:dyDescent="0.2">
      <c r="B193" s="250" t="s">
        <v>1582</v>
      </c>
      <c r="C193" s="250" t="s">
        <v>4073</v>
      </c>
      <c r="D193" s="250" t="s">
        <v>1555</v>
      </c>
      <c r="K193" s="250">
        <v>0.55000000000000004</v>
      </c>
      <c r="L193" s="250">
        <v>24</v>
      </c>
      <c r="N193" s="250">
        <v>3</v>
      </c>
    </row>
    <row r="194" spans="2:14" ht="15" customHeight="1" x14ac:dyDescent="0.2">
      <c r="B194" s="250" t="s">
        <v>1583</v>
      </c>
      <c r="C194" s="250" t="s">
        <v>4073</v>
      </c>
      <c r="D194" s="250" t="s">
        <v>1555</v>
      </c>
      <c r="K194" s="250">
        <v>0.55000000000000004</v>
      </c>
      <c r="L194" s="250">
        <v>24</v>
      </c>
      <c r="N194" s="250">
        <v>3</v>
      </c>
    </row>
    <row r="195" spans="2:14" ht="15" customHeight="1" x14ac:dyDescent="0.2">
      <c r="B195" s="250" t="s">
        <v>1584</v>
      </c>
      <c r="C195" s="250" t="s">
        <v>3883</v>
      </c>
      <c r="D195" s="250" t="s">
        <v>1555</v>
      </c>
      <c r="K195" s="250">
        <v>0.55000000000000004</v>
      </c>
      <c r="L195" s="250">
        <v>24</v>
      </c>
      <c r="N195" s="250">
        <v>3</v>
      </c>
    </row>
    <row r="196" spans="2:14" ht="15" customHeight="1" x14ac:dyDescent="0.2">
      <c r="B196" s="250" t="s">
        <v>1585</v>
      </c>
      <c r="C196" s="250" t="s">
        <v>3883</v>
      </c>
      <c r="D196" s="250" t="s">
        <v>1555</v>
      </c>
      <c r="K196" s="250">
        <v>0.55000000000000004</v>
      </c>
      <c r="L196" s="250">
        <v>24</v>
      </c>
      <c r="N196" s="250">
        <v>3</v>
      </c>
    </row>
    <row r="197" spans="2:14" ht="15" customHeight="1" x14ac:dyDescent="0.2">
      <c r="B197" s="250" t="s">
        <v>1586</v>
      </c>
      <c r="C197" s="250" t="s">
        <v>3883</v>
      </c>
      <c r="D197" s="250" t="s">
        <v>1555</v>
      </c>
      <c r="K197" s="250">
        <v>0.55000000000000004</v>
      </c>
      <c r="L197" s="250">
        <v>32</v>
      </c>
      <c r="N197" s="250">
        <v>4</v>
      </c>
    </row>
    <row r="198" spans="2:14" ht="15" customHeight="1" x14ac:dyDescent="0.2">
      <c r="B198" s="250" t="s">
        <v>1587</v>
      </c>
      <c r="C198" s="250" t="s">
        <v>3883</v>
      </c>
      <c r="D198" s="250" t="s">
        <v>1555</v>
      </c>
      <c r="K198" s="250">
        <v>0.55000000000000004</v>
      </c>
      <c r="L198" s="250">
        <v>32</v>
      </c>
      <c r="N198" s="250">
        <v>4</v>
      </c>
    </row>
    <row r="199" spans="2:14" ht="15" customHeight="1" x14ac:dyDescent="0.2">
      <c r="B199" s="250" t="s">
        <v>1588</v>
      </c>
      <c r="C199" s="250" t="s">
        <v>4073</v>
      </c>
      <c r="D199" s="250" t="s">
        <v>1555</v>
      </c>
      <c r="K199" s="250">
        <v>0.55000000000000004</v>
      </c>
      <c r="L199" s="250">
        <v>32</v>
      </c>
      <c r="N199" s="250">
        <v>4</v>
      </c>
    </row>
    <row r="200" spans="2:14" ht="15" customHeight="1" x14ac:dyDescent="0.2">
      <c r="B200" s="250" t="s">
        <v>1589</v>
      </c>
      <c r="C200" s="250" t="s">
        <v>4073</v>
      </c>
      <c r="D200" s="250" t="s">
        <v>1555</v>
      </c>
      <c r="K200" s="250">
        <v>0.55000000000000004</v>
      </c>
      <c r="L200" s="250">
        <v>32</v>
      </c>
      <c r="N200" s="250">
        <v>4</v>
      </c>
    </row>
    <row r="201" spans="2:14" ht="15" customHeight="1" x14ac:dyDescent="0.2">
      <c r="B201" s="250" t="s">
        <v>1590</v>
      </c>
      <c r="C201" s="250" t="s">
        <v>3883</v>
      </c>
      <c r="D201" s="250" t="s">
        <v>1555</v>
      </c>
      <c r="K201" s="250">
        <v>0.55000000000000004</v>
      </c>
      <c r="L201" s="250">
        <v>32</v>
      </c>
      <c r="N201" s="250">
        <v>4</v>
      </c>
    </row>
    <row r="202" spans="2:14" ht="15" customHeight="1" x14ac:dyDescent="0.2">
      <c r="B202" s="250" t="s">
        <v>1591</v>
      </c>
      <c r="C202" s="250" t="s">
        <v>4073</v>
      </c>
      <c r="D202" s="250" t="s">
        <v>1555</v>
      </c>
      <c r="K202" s="250">
        <v>0.55000000000000004</v>
      </c>
      <c r="L202" s="250">
        <v>32</v>
      </c>
      <c r="N202" s="250">
        <v>4</v>
      </c>
    </row>
    <row r="203" spans="2:14" ht="15" customHeight="1" x14ac:dyDescent="0.2">
      <c r="B203" s="250" t="s">
        <v>1592</v>
      </c>
      <c r="C203" s="250" t="s">
        <v>3883</v>
      </c>
      <c r="D203" s="250" t="s">
        <v>1555</v>
      </c>
      <c r="K203" s="250">
        <v>0.55000000000000004</v>
      </c>
      <c r="L203" s="250">
        <v>32</v>
      </c>
      <c r="N203" s="250">
        <v>4</v>
      </c>
    </row>
    <row r="204" spans="2:14" ht="15" customHeight="1" x14ac:dyDescent="0.2">
      <c r="B204" s="250" t="s">
        <v>1593</v>
      </c>
      <c r="C204" s="250" t="s">
        <v>3883</v>
      </c>
      <c r="D204" s="250" t="s">
        <v>1555</v>
      </c>
      <c r="K204" s="250">
        <v>0.55000000000000004</v>
      </c>
      <c r="L204" s="250">
        <v>32</v>
      </c>
      <c r="N204" s="250">
        <v>4</v>
      </c>
    </row>
    <row r="205" spans="2:14" ht="15" customHeight="1" x14ac:dyDescent="0.2">
      <c r="B205" s="250" t="s">
        <v>1594</v>
      </c>
      <c r="C205" s="250" t="s">
        <v>4073</v>
      </c>
      <c r="D205" s="250" t="s">
        <v>1555</v>
      </c>
      <c r="K205" s="250">
        <v>0.55000000000000004</v>
      </c>
      <c r="L205" s="250">
        <v>32</v>
      </c>
      <c r="N205" s="250">
        <v>4</v>
      </c>
    </row>
    <row r="206" spans="2:14" ht="15" customHeight="1" x14ac:dyDescent="0.2">
      <c r="B206" s="250" t="s">
        <v>1595</v>
      </c>
      <c r="C206" s="250" t="s">
        <v>3883</v>
      </c>
      <c r="D206" s="250" t="s">
        <v>1555</v>
      </c>
      <c r="K206" s="250">
        <v>0.55000000000000004</v>
      </c>
      <c r="L206" s="250">
        <v>32</v>
      </c>
      <c r="N206" s="250">
        <v>4</v>
      </c>
    </row>
    <row r="207" spans="2:14" ht="15" customHeight="1" x14ac:dyDescent="0.2">
      <c r="B207" s="250" t="s">
        <v>1596</v>
      </c>
      <c r="C207" s="250" t="s">
        <v>3883</v>
      </c>
      <c r="D207" s="250" t="s">
        <v>1555</v>
      </c>
      <c r="K207" s="250">
        <v>0.55000000000000004</v>
      </c>
      <c r="L207" s="250">
        <v>32</v>
      </c>
      <c r="N207" s="250">
        <v>4</v>
      </c>
    </row>
    <row r="208" spans="2:14" ht="15" customHeight="1" x14ac:dyDescent="0.2">
      <c r="B208" s="250" t="s">
        <v>1597</v>
      </c>
      <c r="C208" s="250" t="s">
        <v>3883</v>
      </c>
      <c r="D208" s="250" t="s">
        <v>1555</v>
      </c>
      <c r="K208" s="250">
        <v>0.55000000000000004</v>
      </c>
      <c r="L208" s="250">
        <v>9</v>
      </c>
      <c r="N208" s="250">
        <v>1</v>
      </c>
    </row>
    <row r="209" spans="2:14" ht="15" customHeight="1" x14ac:dyDescent="0.2">
      <c r="B209" s="250" t="s">
        <v>1598</v>
      </c>
      <c r="C209" s="250" t="s">
        <v>4073</v>
      </c>
      <c r="D209" s="250" t="s">
        <v>1555</v>
      </c>
      <c r="K209" s="250">
        <v>0.55000000000000004</v>
      </c>
      <c r="L209" s="250">
        <v>9</v>
      </c>
      <c r="N209" s="250">
        <v>1</v>
      </c>
    </row>
    <row r="210" spans="2:14" ht="15" customHeight="1" x14ac:dyDescent="0.2">
      <c r="B210" s="250" t="s">
        <v>1599</v>
      </c>
      <c r="C210" s="250" t="s">
        <v>4073</v>
      </c>
      <c r="D210" s="250" t="s">
        <v>1555</v>
      </c>
      <c r="K210" s="250">
        <v>0.55000000000000004</v>
      </c>
      <c r="L210" s="250">
        <v>9</v>
      </c>
      <c r="N210" s="250">
        <v>1</v>
      </c>
    </row>
    <row r="211" spans="2:14" ht="15" customHeight="1" x14ac:dyDescent="0.2">
      <c r="B211" s="250" t="s">
        <v>1600</v>
      </c>
      <c r="C211" s="250" t="s">
        <v>4073</v>
      </c>
      <c r="D211" s="250" t="s">
        <v>1555</v>
      </c>
      <c r="K211" s="250">
        <v>0.55000000000000004</v>
      </c>
      <c r="L211" s="250">
        <v>9</v>
      </c>
      <c r="N211" s="250">
        <v>1</v>
      </c>
    </row>
    <row r="212" spans="2:14" ht="15" customHeight="1" x14ac:dyDescent="0.2">
      <c r="B212" s="250" t="s">
        <v>1601</v>
      </c>
      <c r="C212" s="250" t="s">
        <v>4073</v>
      </c>
      <c r="D212" s="250" t="s">
        <v>1555</v>
      </c>
      <c r="K212" s="250">
        <v>0.55000000000000004</v>
      </c>
      <c r="L212" s="250">
        <v>9</v>
      </c>
      <c r="N212" s="250">
        <v>1</v>
      </c>
    </row>
    <row r="213" spans="2:14" ht="15" customHeight="1" x14ac:dyDescent="0.2">
      <c r="B213" s="250" t="s">
        <v>1602</v>
      </c>
      <c r="C213" s="250" t="s">
        <v>4073</v>
      </c>
      <c r="D213" s="250" t="s">
        <v>1555</v>
      </c>
      <c r="K213" s="250">
        <v>0.55000000000000004</v>
      </c>
      <c r="L213" s="250">
        <v>9</v>
      </c>
      <c r="N213" s="250">
        <v>1</v>
      </c>
    </row>
    <row r="214" spans="2:14" ht="15" customHeight="1" x14ac:dyDescent="0.2">
      <c r="B214" s="250" t="s">
        <v>1603</v>
      </c>
      <c r="C214" s="250" t="s">
        <v>3883</v>
      </c>
      <c r="D214" s="250" t="s">
        <v>1555</v>
      </c>
      <c r="K214" s="250">
        <v>0.55000000000000004</v>
      </c>
      <c r="L214" s="250">
        <v>9</v>
      </c>
      <c r="N214" s="250">
        <v>1</v>
      </c>
    </row>
    <row r="215" spans="2:14" ht="15" customHeight="1" x14ac:dyDescent="0.2">
      <c r="B215" s="250" t="s">
        <v>1604</v>
      </c>
      <c r="C215" s="250" t="s">
        <v>3883</v>
      </c>
      <c r="D215" s="250" t="s">
        <v>1555</v>
      </c>
      <c r="K215" s="250">
        <v>0.55000000000000004</v>
      </c>
      <c r="L215" s="250">
        <v>9</v>
      </c>
      <c r="N215" s="250">
        <v>1</v>
      </c>
    </row>
    <row r="216" spans="2:14" ht="15" customHeight="1" x14ac:dyDescent="0.2">
      <c r="B216" s="250" t="s">
        <v>1605</v>
      </c>
      <c r="C216" s="250" t="s">
        <v>4073</v>
      </c>
      <c r="D216" s="250" t="s">
        <v>1555</v>
      </c>
      <c r="K216" s="250">
        <v>0.55000000000000004</v>
      </c>
      <c r="L216" s="250">
        <v>9</v>
      </c>
      <c r="N216" s="250">
        <v>1</v>
      </c>
    </row>
    <row r="217" spans="2:14" ht="15" customHeight="1" x14ac:dyDescent="0.2">
      <c r="B217" s="250" t="s">
        <v>1606</v>
      </c>
      <c r="C217" s="250" t="s">
        <v>4073</v>
      </c>
      <c r="D217" s="250" t="s">
        <v>1555</v>
      </c>
      <c r="K217" s="250">
        <v>0.55000000000000004</v>
      </c>
      <c r="L217" s="250">
        <v>9</v>
      </c>
      <c r="N217" s="250">
        <v>1</v>
      </c>
    </row>
    <row r="218" spans="2:14" ht="15" customHeight="1" x14ac:dyDescent="0.2">
      <c r="B218" s="250" t="s">
        <v>1607</v>
      </c>
      <c r="C218" s="250" t="s">
        <v>4073</v>
      </c>
      <c r="D218" s="250" t="s">
        <v>1555</v>
      </c>
      <c r="K218" s="250">
        <v>0.55000000000000004</v>
      </c>
      <c r="L218" s="250">
        <v>9</v>
      </c>
      <c r="N218" s="250">
        <v>1</v>
      </c>
    </row>
    <row r="219" spans="2:14" ht="15" customHeight="1" x14ac:dyDescent="0.2">
      <c r="B219" s="250" t="s">
        <v>1608</v>
      </c>
      <c r="C219" s="250" t="s">
        <v>4073</v>
      </c>
      <c r="D219" s="250" t="s">
        <v>1555</v>
      </c>
      <c r="K219" s="250">
        <v>0.55000000000000004</v>
      </c>
      <c r="L219" s="250">
        <v>9</v>
      </c>
      <c r="N219" s="250">
        <v>1</v>
      </c>
    </row>
    <row r="220" spans="2:14" ht="15" customHeight="1" x14ac:dyDescent="0.2">
      <c r="B220" s="250" t="s">
        <v>1609</v>
      </c>
      <c r="C220" s="250" t="s">
        <v>3883</v>
      </c>
      <c r="D220" s="250" t="s">
        <v>1555</v>
      </c>
      <c r="K220" s="250">
        <v>0.55000000000000004</v>
      </c>
      <c r="L220" s="250">
        <v>18</v>
      </c>
      <c r="N220" s="250">
        <v>2</v>
      </c>
    </row>
    <row r="221" spans="2:14" ht="15" customHeight="1" x14ac:dyDescent="0.2">
      <c r="B221" s="250" t="s">
        <v>1610</v>
      </c>
      <c r="C221" s="250" t="s">
        <v>3883</v>
      </c>
      <c r="D221" s="250" t="s">
        <v>1555</v>
      </c>
      <c r="K221" s="250">
        <v>0.55000000000000004</v>
      </c>
      <c r="L221" s="250">
        <v>18</v>
      </c>
      <c r="N221" s="250">
        <v>2</v>
      </c>
    </row>
    <row r="222" spans="2:14" ht="15" customHeight="1" x14ac:dyDescent="0.2">
      <c r="B222" s="250" t="s">
        <v>1611</v>
      </c>
      <c r="C222" s="250" t="s">
        <v>3883</v>
      </c>
      <c r="D222" s="250" t="s">
        <v>1555</v>
      </c>
      <c r="K222" s="250">
        <v>0.55000000000000004</v>
      </c>
      <c r="L222" s="250">
        <v>18</v>
      </c>
      <c r="N222" s="250">
        <v>2</v>
      </c>
    </row>
    <row r="223" spans="2:14" ht="15" customHeight="1" x14ac:dyDescent="0.2">
      <c r="B223" s="250" t="s">
        <v>1612</v>
      </c>
      <c r="C223" s="250" t="s">
        <v>4073</v>
      </c>
      <c r="D223" s="250" t="s">
        <v>1555</v>
      </c>
      <c r="K223" s="250">
        <v>0.55000000000000004</v>
      </c>
      <c r="L223" s="250">
        <v>18</v>
      </c>
      <c r="N223" s="250">
        <v>2</v>
      </c>
    </row>
    <row r="224" spans="2:14" ht="15" customHeight="1" x14ac:dyDescent="0.2">
      <c r="B224" s="250" t="s">
        <v>1613</v>
      </c>
      <c r="C224" s="250" t="s">
        <v>4073</v>
      </c>
      <c r="D224" s="250" t="s">
        <v>1555</v>
      </c>
      <c r="K224" s="250">
        <v>0.55000000000000004</v>
      </c>
      <c r="L224" s="250">
        <v>18</v>
      </c>
      <c r="N224" s="250">
        <v>2</v>
      </c>
    </row>
    <row r="225" spans="2:14" ht="15" customHeight="1" x14ac:dyDescent="0.2">
      <c r="B225" s="250" t="s">
        <v>1614</v>
      </c>
      <c r="C225" s="250" t="s">
        <v>3883</v>
      </c>
      <c r="D225" s="250" t="s">
        <v>1555</v>
      </c>
      <c r="K225" s="250">
        <v>0.55000000000000004</v>
      </c>
      <c r="L225" s="250">
        <v>18</v>
      </c>
      <c r="N225" s="250">
        <v>2</v>
      </c>
    </row>
    <row r="226" spans="2:14" ht="15" customHeight="1" x14ac:dyDescent="0.2">
      <c r="B226" s="250" t="s">
        <v>1615</v>
      </c>
      <c r="C226" s="250" t="s">
        <v>3883</v>
      </c>
      <c r="D226" s="250" t="s">
        <v>1555</v>
      </c>
      <c r="K226" s="250">
        <v>0.55000000000000004</v>
      </c>
      <c r="L226" s="250">
        <v>18</v>
      </c>
      <c r="N226" s="250">
        <v>2</v>
      </c>
    </row>
    <row r="227" spans="2:14" ht="15" customHeight="1" x14ac:dyDescent="0.2">
      <c r="B227" s="250" t="s">
        <v>1616</v>
      </c>
      <c r="C227" s="250" t="s">
        <v>3883</v>
      </c>
      <c r="D227" s="250" t="s">
        <v>1555</v>
      </c>
      <c r="K227" s="250">
        <v>0.55000000000000004</v>
      </c>
      <c r="L227" s="250">
        <v>18</v>
      </c>
      <c r="N227" s="250">
        <v>2</v>
      </c>
    </row>
    <row r="228" spans="2:14" ht="15" customHeight="1" x14ac:dyDescent="0.2">
      <c r="B228" s="250" t="s">
        <v>1617</v>
      </c>
      <c r="C228" s="250" t="s">
        <v>3883</v>
      </c>
      <c r="D228" s="250" t="s">
        <v>1555</v>
      </c>
      <c r="K228" s="250">
        <v>0.55000000000000004</v>
      </c>
      <c r="L228" s="250">
        <v>18</v>
      </c>
      <c r="N228" s="250">
        <v>2</v>
      </c>
    </row>
    <row r="229" spans="2:14" ht="15" customHeight="1" x14ac:dyDescent="0.2">
      <c r="B229" s="250" t="s">
        <v>1618</v>
      </c>
      <c r="C229" s="250" t="s">
        <v>4073</v>
      </c>
      <c r="D229" s="250" t="s">
        <v>1555</v>
      </c>
      <c r="K229" s="250">
        <v>0.55000000000000004</v>
      </c>
      <c r="L229" s="250">
        <v>18</v>
      </c>
      <c r="N229" s="250">
        <v>2</v>
      </c>
    </row>
    <row r="230" spans="2:14" ht="15" customHeight="1" x14ac:dyDescent="0.2">
      <c r="B230" s="250" t="s">
        <v>1619</v>
      </c>
      <c r="C230" s="250" t="s">
        <v>3883</v>
      </c>
      <c r="D230" s="250" t="s">
        <v>1555</v>
      </c>
      <c r="K230" s="250">
        <v>0.55000000000000004</v>
      </c>
      <c r="L230" s="250">
        <v>18</v>
      </c>
      <c r="N230" s="250">
        <v>2</v>
      </c>
    </row>
    <row r="231" spans="2:14" ht="15" customHeight="1" x14ac:dyDescent="0.2">
      <c r="B231" s="250" t="s">
        <v>1620</v>
      </c>
      <c r="C231" s="250" t="s">
        <v>3883</v>
      </c>
      <c r="D231" s="250" t="s">
        <v>1555</v>
      </c>
      <c r="K231" s="250">
        <v>0.55000000000000004</v>
      </c>
      <c r="L231" s="250">
        <v>18</v>
      </c>
      <c r="N231" s="250">
        <v>2</v>
      </c>
    </row>
    <row r="232" spans="2:14" ht="15" customHeight="1" x14ac:dyDescent="0.2">
      <c r="B232" s="250" t="s">
        <v>1621</v>
      </c>
      <c r="C232" s="250" t="s">
        <v>4073</v>
      </c>
      <c r="D232" s="250" t="s">
        <v>1555</v>
      </c>
      <c r="K232" s="250">
        <v>0.55000000000000004</v>
      </c>
      <c r="L232" s="250">
        <v>27</v>
      </c>
      <c r="N232" s="250">
        <v>3</v>
      </c>
    </row>
    <row r="233" spans="2:14" ht="15" customHeight="1" x14ac:dyDescent="0.2">
      <c r="B233" s="250" t="s">
        <v>1622</v>
      </c>
      <c r="C233" s="250" t="s">
        <v>4073</v>
      </c>
      <c r="D233" s="250" t="s">
        <v>1555</v>
      </c>
      <c r="K233" s="250">
        <v>0.55000000000000004</v>
      </c>
      <c r="L233" s="250">
        <v>27</v>
      </c>
      <c r="N233" s="250">
        <v>3</v>
      </c>
    </row>
    <row r="234" spans="2:14" ht="15" customHeight="1" x14ac:dyDescent="0.2">
      <c r="B234" s="250" t="s">
        <v>1623</v>
      </c>
      <c r="C234" s="250" t="s">
        <v>3883</v>
      </c>
      <c r="D234" s="250" t="s">
        <v>1555</v>
      </c>
      <c r="K234" s="250">
        <v>0.55000000000000004</v>
      </c>
      <c r="L234" s="250">
        <v>27</v>
      </c>
      <c r="N234" s="250">
        <v>3</v>
      </c>
    </row>
    <row r="235" spans="2:14" ht="15" customHeight="1" x14ac:dyDescent="0.2">
      <c r="B235" s="250" t="s">
        <v>1624</v>
      </c>
      <c r="C235" s="250" t="s">
        <v>4073</v>
      </c>
      <c r="D235" s="250" t="s">
        <v>1555</v>
      </c>
      <c r="K235" s="250">
        <v>0.55000000000000004</v>
      </c>
      <c r="L235" s="250">
        <v>27</v>
      </c>
      <c r="N235" s="250">
        <v>3</v>
      </c>
    </row>
    <row r="236" spans="2:14" ht="15" customHeight="1" x14ac:dyDescent="0.2">
      <c r="B236" s="250" t="s">
        <v>1625</v>
      </c>
      <c r="C236" s="250" t="s">
        <v>4073</v>
      </c>
      <c r="D236" s="250" t="s">
        <v>1555</v>
      </c>
      <c r="K236" s="250">
        <v>0.55000000000000004</v>
      </c>
      <c r="L236" s="250">
        <v>27</v>
      </c>
      <c r="N236" s="250">
        <v>3</v>
      </c>
    </row>
    <row r="237" spans="2:14" ht="15" customHeight="1" x14ac:dyDescent="0.2">
      <c r="B237" s="250" t="s">
        <v>1626</v>
      </c>
      <c r="C237" s="250" t="s">
        <v>4073</v>
      </c>
      <c r="D237" s="250" t="s">
        <v>1555</v>
      </c>
      <c r="K237" s="250">
        <v>0.55000000000000004</v>
      </c>
      <c r="L237" s="250">
        <v>27</v>
      </c>
      <c r="N237" s="250">
        <v>3</v>
      </c>
    </row>
    <row r="238" spans="2:14" ht="15" customHeight="1" x14ac:dyDescent="0.2">
      <c r="B238" s="250" t="s">
        <v>1627</v>
      </c>
      <c r="C238" s="250" t="s">
        <v>3883</v>
      </c>
      <c r="D238" s="250" t="s">
        <v>1555</v>
      </c>
      <c r="K238" s="250">
        <v>0.55000000000000004</v>
      </c>
      <c r="L238" s="250">
        <v>27</v>
      </c>
      <c r="N238" s="250">
        <v>3</v>
      </c>
    </row>
    <row r="239" spans="2:14" ht="15" customHeight="1" x14ac:dyDescent="0.2">
      <c r="B239" s="250" t="s">
        <v>1628</v>
      </c>
      <c r="C239" s="250" t="s">
        <v>4073</v>
      </c>
      <c r="D239" s="250" t="s">
        <v>1555</v>
      </c>
      <c r="K239" s="250">
        <v>0.55000000000000004</v>
      </c>
      <c r="L239" s="250">
        <v>27</v>
      </c>
      <c r="N239" s="250">
        <v>3</v>
      </c>
    </row>
    <row r="240" spans="2:14" ht="15" customHeight="1" x14ac:dyDescent="0.2">
      <c r="B240" s="250" t="s">
        <v>1629</v>
      </c>
      <c r="C240" s="250" t="s">
        <v>4073</v>
      </c>
      <c r="D240" s="250" t="s">
        <v>1555</v>
      </c>
      <c r="K240" s="250">
        <v>0.55000000000000004</v>
      </c>
      <c r="L240" s="250">
        <v>27</v>
      </c>
      <c r="N240" s="250">
        <v>3</v>
      </c>
    </row>
    <row r="241" spans="2:14" ht="15" customHeight="1" x14ac:dyDescent="0.2">
      <c r="B241" s="250" t="s">
        <v>1630</v>
      </c>
      <c r="C241" s="250" t="s">
        <v>3883</v>
      </c>
      <c r="D241" s="250" t="s">
        <v>1555</v>
      </c>
      <c r="K241" s="250">
        <v>0.55000000000000004</v>
      </c>
      <c r="L241" s="250">
        <v>27</v>
      </c>
      <c r="N241" s="250">
        <v>3</v>
      </c>
    </row>
    <row r="242" spans="2:14" ht="15" customHeight="1" x14ac:dyDescent="0.2">
      <c r="B242" s="250" t="s">
        <v>1631</v>
      </c>
      <c r="C242" s="250" t="s">
        <v>4073</v>
      </c>
      <c r="D242" s="250" t="s">
        <v>1555</v>
      </c>
      <c r="K242" s="250">
        <v>0.55000000000000004</v>
      </c>
      <c r="L242" s="250">
        <v>27</v>
      </c>
      <c r="N242" s="250">
        <v>3</v>
      </c>
    </row>
    <row r="243" spans="2:14" ht="15" customHeight="1" x14ac:dyDescent="0.2">
      <c r="B243" s="250" t="s">
        <v>74</v>
      </c>
      <c r="C243" s="250" t="s">
        <v>4073</v>
      </c>
      <c r="D243" s="250" t="s">
        <v>1555</v>
      </c>
      <c r="K243" s="250">
        <v>0.55000000000000004</v>
      </c>
      <c r="L243" s="250">
        <v>27</v>
      </c>
      <c r="N243" s="250">
        <v>3</v>
      </c>
    </row>
    <row r="244" spans="2:14" ht="15" customHeight="1" x14ac:dyDescent="0.2">
      <c r="B244" s="250" t="s">
        <v>1632</v>
      </c>
      <c r="C244" s="250" t="s">
        <v>3883</v>
      </c>
      <c r="D244" s="250" t="s">
        <v>1555</v>
      </c>
      <c r="K244" s="250">
        <v>0.55000000000000004</v>
      </c>
      <c r="L244" s="250">
        <v>36</v>
      </c>
      <c r="N244" s="250">
        <v>4</v>
      </c>
    </row>
    <row r="245" spans="2:14" ht="15" customHeight="1" x14ac:dyDescent="0.2">
      <c r="B245" s="250" t="s">
        <v>1633</v>
      </c>
      <c r="C245" s="250" t="s">
        <v>4073</v>
      </c>
      <c r="D245" s="250" t="s">
        <v>1555</v>
      </c>
      <c r="K245" s="250">
        <v>0.55000000000000004</v>
      </c>
      <c r="L245" s="250">
        <v>36</v>
      </c>
      <c r="N245" s="250">
        <v>4</v>
      </c>
    </row>
    <row r="246" spans="2:14" ht="15" customHeight="1" x14ac:dyDescent="0.2">
      <c r="B246" s="250" t="s">
        <v>1634</v>
      </c>
      <c r="C246" s="250" t="s">
        <v>4073</v>
      </c>
      <c r="D246" s="250" t="s">
        <v>1555</v>
      </c>
      <c r="K246" s="250">
        <v>0.55000000000000004</v>
      </c>
      <c r="L246" s="250">
        <v>36</v>
      </c>
      <c r="N246" s="250">
        <v>4</v>
      </c>
    </row>
    <row r="247" spans="2:14" ht="15" customHeight="1" x14ac:dyDescent="0.2">
      <c r="B247" s="250" t="s">
        <v>1635</v>
      </c>
      <c r="C247" s="250" t="s">
        <v>3883</v>
      </c>
      <c r="D247" s="250" t="s">
        <v>1555</v>
      </c>
      <c r="K247" s="250">
        <v>0.55000000000000004</v>
      </c>
      <c r="L247" s="250">
        <v>36</v>
      </c>
      <c r="N247" s="250">
        <v>4</v>
      </c>
    </row>
    <row r="248" spans="2:14" ht="15" customHeight="1" x14ac:dyDescent="0.2">
      <c r="B248" s="250" t="s">
        <v>1636</v>
      </c>
      <c r="C248" s="250" t="s">
        <v>4073</v>
      </c>
      <c r="D248" s="250" t="s">
        <v>1555</v>
      </c>
      <c r="K248" s="250">
        <v>0.55000000000000004</v>
      </c>
      <c r="L248" s="250">
        <v>36</v>
      </c>
      <c r="N248" s="250">
        <v>4</v>
      </c>
    </row>
    <row r="249" spans="2:14" ht="15" customHeight="1" x14ac:dyDescent="0.2">
      <c r="B249" s="250" t="s">
        <v>1637</v>
      </c>
      <c r="C249" s="250" t="s">
        <v>4073</v>
      </c>
      <c r="D249" s="250" t="s">
        <v>1555</v>
      </c>
      <c r="K249" s="250">
        <v>0.55000000000000004</v>
      </c>
      <c r="L249" s="250">
        <v>36</v>
      </c>
      <c r="N249" s="250">
        <v>4</v>
      </c>
    </row>
    <row r="250" spans="2:14" ht="15" customHeight="1" x14ac:dyDescent="0.2">
      <c r="B250" s="250" t="s">
        <v>1638</v>
      </c>
      <c r="C250" s="250" t="s">
        <v>3883</v>
      </c>
      <c r="D250" s="250" t="s">
        <v>1555</v>
      </c>
      <c r="K250" s="250">
        <v>0.55000000000000004</v>
      </c>
      <c r="L250" s="250">
        <v>36</v>
      </c>
      <c r="N250" s="250">
        <v>4</v>
      </c>
    </row>
    <row r="251" spans="2:14" ht="15" customHeight="1" x14ac:dyDescent="0.2">
      <c r="B251" s="250" t="s">
        <v>1639</v>
      </c>
      <c r="C251" s="250" t="s">
        <v>3883</v>
      </c>
      <c r="D251" s="250" t="s">
        <v>1555</v>
      </c>
      <c r="K251" s="250">
        <v>0.55000000000000004</v>
      </c>
      <c r="L251" s="250">
        <v>36</v>
      </c>
      <c r="N251" s="250">
        <v>4</v>
      </c>
    </row>
    <row r="252" spans="2:14" ht="15" customHeight="1" x14ac:dyDescent="0.2">
      <c r="B252" s="250" t="s">
        <v>1640</v>
      </c>
      <c r="C252" s="250" t="s">
        <v>3883</v>
      </c>
      <c r="D252" s="250" t="s">
        <v>1555</v>
      </c>
      <c r="K252" s="250">
        <v>0.55000000000000004</v>
      </c>
      <c r="L252" s="250">
        <v>36</v>
      </c>
      <c r="N252" s="250">
        <v>4</v>
      </c>
    </row>
    <row r="253" spans="2:14" ht="15" customHeight="1" x14ac:dyDescent="0.2">
      <c r="B253" s="250" t="s">
        <v>1641</v>
      </c>
      <c r="C253" s="250" t="s">
        <v>3883</v>
      </c>
      <c r="D253" s="250" t="s">
        <v>1555</v>
      </c>
      <c r="K253" s="250">
        <v>0.55000000000000004</v>
      </c>
      <c r="L253" s="250">
        <v>36</v>
      </c>
      <c r="N253" s="250">
        <v>4</v>
      </c>
    </row>
    <row r="254" spans="2:14" ht="15" customHeight="1" x14ac:dyDescent="0.2">
      <c r="B254" s="250" t="s">
        <v>196</v>
      </c>
      <c r="C254" s="250" t="s">
        <v>4073</v>
      </c>
      <c r="D254" s="250" t="s">
        <v>1555</v>
      </c>
      <c r="K254" s="250">
        <v>0.55000000000000004</v>
      </c>
      <c r="L254" s="250">
        <v>36</v>
      </c>
      <c r="N254" s="250">
        <v>4</v>
      </c>
    </row>
    <row r="255" spans="2:14" ht="15" customHeight="1" x14ac:dyDescent="0.2">
      <c r="B255" s="250" t="s">
        <v>1642</v>
      </c>
      <c r="C255" s="250" t="s">
        <v>4073</v>
      </c>
      <c r="D255" s="250" t="s">
        <v>1643</v>
      </c>
      <c r="K255" s="250">
        <v>0.55000000000000004</v>
      </c>
      <c r="L255" s="250">
        <v>29</v>
      </c>
      <c r="N255" s="250">
        <v>2.5</v>
      </c>
    </row>
    <row r="256" spans="2:14" ht="15" customHeight="1" x14ac:dyDescent="0.2">
      <c r="B256" s="250" t="s">
        <v>1644</v>
      </c>
      <c r="C256" s="250" t="s">
        <v>3883</v>
      </c>
      <c r="D256" s="250" t="s">
        <v>1643</v>
      </c>
      <c r="K256" s="250">
        <v>0.55000000000000004</v>
      </c>
      <c r="L256" s="250">
        <v>29</v>
      </c>
      <c r="N256" s="250">
        <v>2.5</v>
      </c>
    </row>
    <row r="257" spans="2:14" ht="15" customHeight="1" x14ac:dyDescent="0.2">
      <c r="B257" s="250" t="s">
        <v>1645</v>
      </c>
      <c r="C257" s="250" t="s">
        <v>4073</v>
      </c>
      <c r="D257" s="250" t="s">
        <v>1643</v>
      </c>
      <c r="K257" s="250">
        <v>0.55000000000000004</v>
      </c>
      <c r="L257" s="250">
        <v>29</v>
      </c>
      <c r="N257" s="250">
        <v>2.5</v>
      </c>
    </row>
    <row r="258" spans="2:14" ht="15" customHeight="1" x14ac:dyDescent="0.2">
      <c r="B258" s="250" t="s">
        <v>1646</v>
      </c>
      <c r="C258" s="250" t="s">
        <v>3883</v>
      </c>
      <c r="D258" s="250" t="s">
        <v>1643</v>
      </c>
      <c r="K258" s="250">
        <v>0.55000000000000004</v>
      </c>
      <c r="L258" s="250">
        <v>29</v>
      </c>
      <c r="N258" s="250">
        <v>2.5</v>
      </c>
    </row>
    <row r="259" spans="2:14" ht="15" customHeight="1" x14ac:dyDescent="0.2">
      <c r="B259" s="250" t="s">
        <v>1647</v>
      </c>
      <c r="C259" s="250" t="s">
        <v>3883</v>
      </c>
      <c r="D259" s="250" t="s">
        <v>1643</v>
      </c>
      <c r="K259" s="250">
        <v>0.55000000000000004</v>
      </c>
      <c r="L259" s="250">
        <v>29</v>
      </c>
      <c r="N259" s="250">
        <v>2.5</v>
      </c>
    </row>
    <row r="260" spans="2:14" ht="15" customHeight="1" x14ac:dyDescent="0.2">
      <c r="B260" s="250" t="s">
        <v>1648</v>
      </c>
      <c r="C260" s="250" t="s">
        <v>4073</v>
      </c>
      <c r="D260" s="250" t="s">
        <v>1643</v>
      </c>
      <c r="K260" s="250">
        <v>0.55000000000000004</v>
      </c>
      <c r="L260" s="250">
        <v>29</v>
      </c>
      <c r="N260" s="250">
        <v>2.5</v>
      </c>
    </row>
    <row r="261" spans="2:14" ht="15" customHeight="1" x14ac:dyDescent="0.2">
      <c r="B261" s="250" t="s">
        <v>1649</v>
      </c>
      <c r="C261" s="250" t="s">
        <v>3883</v>
      </c>
      <c r="D261" s="250" t="s">
        <v>1643</v>
      </c>
      <c r="K261" s="250">
        <v>0.55000000000000004</v>
      </c>
      <c r="L261" s="250">
        <v>29</v>
      </c>
      <c r="N261" s="250">
        <v>2.5</v>
      </c>
    </row>
    <row r="262" spans="2:14" ht="15" customHeight="1" x14ac:dyDescent="0.2">
      <c r="B262" s="250" t="s">
        <v>1650</v>
      </c>
      <c r="C262" s="250" t="s">
        <v>3883</v>
      </c>
      <c r="D262" s="250" t="s">
        <v>1643</v>
      </c>
      <c r="K262" s="250">
        <v>0.55000000000000004</v>
      </c>
      <c r="L262" s="250">
        <v>29</v>
      </c>
      <c r="N262" s="250">
        <v>2.5</v>
      </c>
    </row>
    <row r="263" spans="2:14" ht="15" customHeight="1" x14ac:dyDescent="0.2">
      <c r="B263" s="250" t="s">
        <v>1651</v>
      </c>
      <c r="C263" s="250" t="s">
        <v>3883</v>
      </c>
      <c r="D263" s="250" t="s">
        <v>1643</v>
      </c>
      <c r="K263" s="250">
        <v>0.55000000000000004</v>
      </c>
      <c r="L263" s="250">
        <v>30</v>
      </c>
      <c r="N263" s="250">
        <v>2.5</v>
      </c>
    </row>
    <row r="264" spans="2:14" ht="15" customHeight="1" x14ac:dyDescent="0.2">
      <c r="B264" s="250" t="s">
        <v>1652</v>
      </c>
      <c r="C264" s="250" t="s">
        <v>4073</v>
      </c>
      <c r="D264" s="250" t="s">
        <v>1643</v>
      </c>
      <c r="K264" s="250">
        <v>0.55000000000000004</v>
      </c>
      <c r="L264" s="250">
        <v>37</v>
      </c>
      <c r="N264" s="250">
        <v>3.5</v>
      </c>
    </row>
    <row r="265" spans="2:14" ht="15" customHeight="1" x14ac:dyDescent="0.2">
      <c r="B265" s="250" t="s">
        <v>1653</v>
      </c>
      <c r="C265" s="250" t="s">
        <v>4073</v>
      </c>
      <c r="D265" s="250" t="s">
        <v>1643</v>
      </c>
      <c r="K265" s="250">
        <v>0.55000000000000004</v>
      </c>
      <c r="L265" s="250">
        <v>37</v>
      </c>
      <c r="N265" s="250">
        <v>3.5</v>
      </c>
    </row>
    <row r="266" spans="2:14" ht="15" customHeight="1" x14ac:dyDescent="0.2">
      <c r="B266" s="250" t="s">
        <v>1654</v>
      </c>
      <c r="C266" s="250" t="s">
        <v>4073</v>
      </c>
      <c r="D266" s="250" t="s">
        <v>1643</v>
      </c>
      <c r="K266" s="250">
        <v>0.55000000000000004</v>
      </c>
      <c r="L266" s="250">
        <v>37</v>
      </c>
      <c r="N266" s="250">
        <v>3.5</v>
      </c>
    </row>
    <row r="267" spans="2:14" ht="15" customHeight="1" x14ac:dyDescent="0.2">
      <c r="B267" s="250" t="s">
        <v>1655</v>
      </c>
      <c r="C267" s="250" t="s">
        <v>4073</v>
      </c>
      <c r="D267" s="250" t="s">
        <v>1643</v>
      </c>
      <c r="K267" s="250">
        <v>0.55000000000000004</v>
      </c>
      <c r="L267" s="250">
        <v>37</v>
      </c>
      <c r="N267" s="250">
        <v>3.5</v>
      </c>
    </row>
    <row r="268" spans="2:14" ht="15" customHeight="1" x14ac:dyDescent="0.2">
      <c r="B268" s="250" t="s">
        <v>1656</v>
      </c>
      <c r="C268" s="250" t="s">
        <v>4073</v>
      </c>
      <c r="D268" s="250" t="s">
        <v>1643</v>
      </c>
      <c r="K268" s="250">
        <v>0.55000000000000004</v>
      </c>
      <c r="L268" s="250">
        <v>37</v>
      </c>
      <c r="N268" s="250">
        <v>3.5</v>
      </c>
    </row>
    <row r="269" spans="2:14" ht="15" customHeight="1" x14ac:dyDescent="0.2">
      <c r="B269" s="250" t="s">
        <v>1657</v>
      </c>
      <c r="C269" s="250" t="s">
        <v>3883</v>
      </c>
      <c r="D269" s="250" t="s">
        <v>1643</v>
      </c>
      <c r="K269" s="250">
        <v>0.55000000000000004</v>
      </c>
      <c r="L269" s="250">
        <v>37</v>
      </c>
      <c r="N269" s="250">
        <v>3.5</v>
      </c>
    </row>
    <row r="270" spans="2:14" ht="15" customHeight="1" x14ac:dyDescent="0.2">
      <c r="B270" s="250" t="s">
        <v>1658</v>
      </c>
      <c r="C270" s="250" t="s">
        <v>3883</v>
      </c>
      <c r="D270" s="250" t="s">
        <v>1643</v>
      </c>
      <c r="K270" s="250">
        <v>0.55000000000000004</v>
      </c>
      <c r="L270" s="250">
        <v>37</v>
      </c>
      <c r="N270" s="250">
        <v>3.5</v>
      </c>
    </row>
    <row r="271" spans="2:14" ht="15" customHeight="1" x14ac:dyDescent="0.2">
      <c r="B271" s="250" t="s">
        <v>1659</v>
      </c>
      <c r="C271" s="250" t="s">
        <v>4073</v>
      </c>
      <c r="D271" s="250" t="s">
        <v>1643</v>
      </c>
      <c r="K271" s="250">
        <v>0.55000000000000004</v>
      </c>
      <c r="L271" s="250">
        <v>37</v>
      </c>
      <c r="N271" s="250">
        <v>3.5</v>
      </c>
    </row>
    <row r="272" spans="2:14" ht="15" customHeight="1" x14ac:dyDescent="0.2">
      <c r="B272" s="250" t="s">
        <v>1660</v>
      </c>
      <c r="C272" s="250" t="s">
        <v>4073</v>
      </c>
      <c r="D272" s="250" t="s">
        <v>1643</v>
      </c>
      <c r="K272" s="250">
        <v>0.55000000000000004</v>
      </c>
      <c r="L272" s="250">
        <v>38</v>
      </c>
      <c r="N272" s="250">
        <v>3.5</v>
      </c>
    </row>
    <row r="273" spans="2:14" ht="15" customHeight="1" x14ac:dyDescent="0.2">
      <c r="B273" s="250" t="s">
        <v>1661</v>
      </c>
      <c r="C273" s="250" t="s">
        <v>4073</v>
      </c>
      <c r="D273" s="250" t="s">
        <v>1643</v>
      </c>
      <c r="K273" s="250">
        <v>0.55000000000000004</v>
      </c>
      <c r="L273" s="250">
        <v>54</v>
      </c>
      <c r="N273" s="250">
        <v>5</v>
      </c>
    </row>
    <row r="274" spans="2:14" ht="15" customHeight="1" x14ac:dyDescent="0.2">
      <c r="B274" s="250" t="s">
        <v>1662</v>
      </c>
      <c r="C274" s="250" t="s">
        <v>4073</v>
      </c>
      <c r="D274" s="250" t="s">
        <v>1643</v>
      </c>
      <c r="K274" s="250">
        <v>0.55000000000000004</v>
      </c>
      <c r="L274" s="250">
        <v>54</v>
      </c>
      <c r="N274" s="250">
        <v>5</v>
      </c>
    </row>
    <row r="275" spans="2:14" ht="15" customHeight="1" x14ac:dyDescent="0.2">
      <c r="B275" s="250" t="s">
        <v>1663</v>
      </c>
      <c r="C275" s="250" t="s">
        <v>4073</v>
      </c>
      <c r="D275" s="250" t="s">
        <v>1643</v>
      </c>
      <c r="K275" s="250">
        <v>0.55000000000000004</v>
      </c>
      <c r="L275" s="250">
        <v>54</v>
      </c>
      <c r="N275" s="250">
        <v>5</v>
      </c>
    </row>
    <row r="276" spans="2:14" ht="15" customHeight="1" x14ac:dyDescent="0.2">
      <c r="B276" s="250" t="s">
        <v>1664</v>
      </c>
      <c r="C276" s="250" t="s">
        <v>3883</v>
      </c>
      <c r="D276" s="250" t="s">
        <v>1643</v>
      </c>
      <c r="K276" s="250">
        <v>0.55000000000000004</v>
      </c>
      <c r="L276" s="250">
        <v>54</v>
      </c>
      <c r="N276" s="250">
        <v>5</v>
      </c>
    </row>
    <row r="277" spans="2:14" ht="15" customHeight="1" x14ac:dyDescent="0.2">
      <c r="B277" s="250" t="s">
        <v>1665</v>
      </c>
      <c r="C277" s="250" t="s">
        <v>3883</v>
      </c>
      <c r="D277" s="250" t="s">
        <v>1643</v>
      </c>
      <c r="K277" s="250">
        <v>0.55000000000000004</v>
      </c>
      <c r="L277" s="250">
        <v>54</v>
      </c>
      <c r="N277" s="250">
        <v>5</v>
      </c>
    </row>
    <row r="278" spans="2:14" ht="15" customHeight="1" x14ac:dyDescent="0.2">
      <c r="B278" s="250" t="s">
        <v>1666</v>
      </c>
      <c r="C278" s="250" t="s">
        <v>3883</v>
      </c>
      <c r="D278" s="250" t="s">
        <v>1643</v>
      </c>
      <c r="K278" s="250">
        <v>0.55000000000000004</v>
      </c>
      <c r="L278" s="250">
        <v>54</v>
      </c>
      <c r="N278" s="250">
        <v>5</v>
      </c>
    </row>
    <row r="279" spans="2:14" ht="15" customHeight="1" x14ac:dyDescent="0.2">
      <c r="B279" s="250" t="s">
        <v>1667</v>
      </c>
      <c r="C279" s="250" t="s">
        <v>3883</v>
      </c>
      <c r="D279" s="250" t="s">
        <v>1643</v>
      </c>
      <c r="K279" s="250">
        <v>0.55000000000000004</v>
      </c>
      <c r="L279" s="250">
        <v>54</v>
      </c>
      <c r="N279" s="250">
        <v>5</v>
      </c>
    </row>
    <row r="280" spans="2:14" ht="15" customHeight="1" x14ac:dyDescent="0.2">
      <c r="B280" s="250" t="s">
        <v>1668</v>
      </c>
      <c r="C280" s="250" t="s">
        <v>4073</v>
      </c>
      <c r="D280" s="250" t="s">
        <v>1643</v>
      </c>
      <c r="K280" s="250">
        <v>0.55000000000000004</v>
      </c>
      <c r="L280" s="250">
        <v>54</v>
      </c>
      <c r="N280" s="250">
        <v>5</v>
      </c>
    </row>
    <row r="281" spans="2:14" ht="15" customHeight="1" x14ac:dyDescent="0.2">
      <c r="B281" s="250" t="s">
        <v>1669</v>
      </c>
      <c r="C281" s="250" t="s">
        <v>3883</v>
      </c>
      <c r="D281" s="250" t="s">
        <v>1643</v>
      </c>
      <c r="K281" s="250">
        <v>0.55000000000000004</v>
      </c>
      <c r="L281" s="250">
        <v>55</v>
      </c>
      <c r="N281" s="250">
        <v>5</v>
      </c>
    </row>
    <row r="282" spans="2:14" ht="15" customHeight="1" x14ac:dyDescent="0.2">
      <c r="B282" s="250" t="s">
        <v>1670</v>
      </c>
      <c r="C282" s="250" t="s">
        <v>4073</v>
      </c>
      <c r="D282" s="250" t="s">
        <v>1643</v>
      </c>
      <c r="K282" s="250">
        <v>0.55000000000000004</v>
      </c>
      <c r="L282" s="250">
        <v>54</v>
      </c>
      <c r="N282" s="250">
        <v>5.5</v>
      </c>
    </row>
    <row r="283" spans="2:14" ht="15" customHeight="1" x14ac:dyDescent="0.2">
      <c r="B283" s="250" t="s">
        <v>1671</v>
      </c>
      <c r="C283" s="250" t="s">
        <v>3883</v>
      </c>
      <c r="D283" s="250" t="s">
        <v>1643</v>
      </c>
      <c r="K283" s="250">
        <v>0.55000000000000004</v>
      </c>
      <c r="L283" s="250">
        <v>54</v>
      </c>
      <c r="N283" s="250">
        <v>5.5</v>
      </c>
    </row>
    <row r="284" spans="2:14" ht="15" customHeight="1" x14ac:dyDescent="0.2">
      <c r="B284" s="250" t="s">
        <v>1672</v>
      </c>
      <c r="C284" s="250" t="s">
        <v>4073</v>
      </c>
      <c r="D284" s="250" t="s">
        <v>1643</v>
      </c>
      <c r="K284" s="250">
        <v>0.55000000000000004</v>
      </c>
      <c r="L284" s="250">
        <v>54</v>
      </c>
      <c r="N284" s="250">
        <v>5.5</v>
      </c>
    </row>
    <row r="285" spans="2:14" ht="15" customHeight="1" x14ac:dyDescent="0.2">
      <c r="B285" s="250" t="s">
        <v>1673</v>
      </c>
      <c r="C285" s="250" t="s">
        <v>4073</v>
      </c>
      <c r="D285" s="250" t="s">
        <v>1643</v>
      </c>
      <c r="K285" s="250">
        <v>0.55000000000000004</v>
      </c>
      <c r="L285" s="250">
        <v>54</v>
      </c>
      <c r="N285" s="250">
        <v>5.5</v>
      </c>
    </row>
    <row r="286" spans="2:14" ht="15" customHeight="1" x14ac:dyDescent="0.2">
      <c r="B286" s="250" t="s">
        <v>1674</v>
      </c>
      <c r="C286" s="250" t="s">
        <v>3883</v>
      </c>
      <c r="D286" s="250" t="s">
        <v>1643</v>
      </c>
      <c r="K286" s="250">
        <v>0.55000000000000004</v>
      </c>
      <c r="L286" s="250">
        <v>54</v>
      </c>
      <c r="N286" s="250">
        <v>5.5</v>
      </c>
    </row>
    <row r="287" spans="2:14" ht="15" customHeight="1" x14ac:dyDescent="0.2">
      <c r="B287" s="250" t="s">
        <v>1675</v>
      </c>
      <c r="C287" s="250" t="s">
        <v>3883</v>
      </c>
      <c r="D287" s="250" t="s">
        <v>1643</v>
      </c>
      <c r="K287" s="250">
        <v>0.55000000000000004</v>
      </c>
      <c r="L287" s="250">
        <v>54</v>
      </c>
      <c r="N287" s="250">
        <v>5.5</v>
      </c>
    </row>
    <row r="288" spans="2:14" ht="15" customHeight="1" x14ac:dyDescent="0.2">
      <c r="B288" s="250" t="s">
        <v>1676</v>
      </c>
      <c r="C288" s="250" t="s">
        <v>3883</v>
      </c>
      <c r="D288" s="250" t="s">
        <v>1643</v>
      </c>
      <c r="K288" s="250">
        <v>0.55000000000000004</v>
      </c>
      <c r="L288" s="250">
        <v>54</v>
      </c>
      <c r="N288" s="250">
        <v>5.5</v>
      </c>
    </row>
    <row r="289" spans="2:14" ht="15" customHeight="1" x14ac:dyDescent="0.2">
      <c r="B289" s="250" t="s">
        <v>1677</v>
      </c>
      <c r="C289" s="250" t="s">
        <v>4073</v>
      </c>
      <c r="D289" s="250" t="s">
        <v>1643</v>
      </c>
      <c r="K289" s="250">
        <v>0.55000000000000004</v>
      </c>
      <c r="L289" s="250">
        <v>54</v>
      </c>
      <c r="N289" s="250">
        <v>5.5</v>
      </c>
    </row>
    <row r="290" spans="2:14" ht="15" customHeight="1" x14ac:dyDescent="0.2">
      <c r="B290" s="250" t="s">
        <v>1678</v>
      </c>
      <c r="C290" s="250" t="s">
        <v>4073</v>
      </c>
      <c r="D290" s="250" t="s">
        <v>1643</v>
      </c>
      <c r="K290" s="250">
        <v>0.55000000000000004</v>
      </c>
      <c r="L290" s="250">
        <v>56</v>
      </c>
      <c r="N290" s="250">
        <v>5.5</v>
      </c>
    </row>
    <row r="291" spans="2:14" ht="15" customHeight="1" x14ac:dyDescent="0.2">
      <c r="B291" s="250" t="s">
        <v>1679</v>
      </c>
      <c r="C291" s="250" t="s">
        <v>4073</v>
      </c>
      <c r="D291" s="250" t="s">
        <v>1643</v>
      </c>
      <c r="K291" s="250">
        <v>0.55000000000000004</v>
      </c>
      <c r="L291" s="250">
        <v>63</v>
      </c>
      <c r="N291" s="250">
        <v>6.5</v>
      </c>
    </row>
    <row r="292" spans="2:14" ht="15" customHeight="1" x14ac:dyDescent="0.2">
      <c r="B292" s="250" t="s">
        <v>1680</v>
      </c>
      <c r="C292" s="250" t="s">
        <v>4073</v>
      </c>
      <c r="D292" s="250" t="s">
        <v>1643</v>
      </c>
      <c r="K292" s="250">
        <v>0.55000000000000004</v>
      </c>
      <c r="L292" s="250">
        <v>63</v>
      </c>
      <c r="N292" s="250">
        <v>6.5</v>
      </c>
    </row>
    <row r="293" spans="2:14" ht="15" customHeight="1" x14ac:dyDescent="0.2">
      <c r="B293" s="250" t="s">
        <v>1681</v>
      </c>
      <c r="C293" s="250" t="s">
        <v>4073</v>
      </c>
      <c r="D293" s="250" t="s">
        <v>1643</v>
      </c>
      <c r="K293" s="250">
        <v>0.55000000000000004</v>
      </c>
      <c r="L293" s="250">
        <v>63</v>
      </c>
      <c r="N293" s="250">
        <v>6.5</v>
      </c>
    </row>
    <row r="294" spans="2:14" ht="15" customHeight="1" x14ac:dyDescent="0.2">
      <c r="B294" s="250" t="s">
        <v>1682</v>
      </c>
      <c r="C294" s="250" t="s">
        <v>4073</v>
      </c>
      <c r="D294" s="250" t="s">
        <v>1643</v>
      </c>
      <c r="K294" s="250">
        <v>0.55000000000000004</v>
      </c>
      <c r="L294" s="250">
        <v>63</v>
      </c>
      <c r="N294" s="250">
        <v>6.5</v>
      </c>
    </row>
    <row r="295" spans="2:14" ht="15" customHeight="1" x14ac:dyDescent="0.2">
      <c r="B295" s="250" t="s">
        <v>1683</v>
      </c>
      <c r="C295" s="250" t="s">
        <v>3883</v>
      </c>
      <c r="D295" s="250" t="s">
        <v>1643</v>
      </c>
      <c r="K295" s="250">
        <v>0.55000000000000004</v>
      </c>
      <c r="L295" s="250">
        <v>63</v>
      </c>
      <c r="N295" s="250">
        <v>6.5</v>
      </c>
    </row>
    <row r="296" spans="2:14" ht="15" customHeight="1" x14ac:dyDescent="0.2">
      <c r="B296" s="250" t="s">
        <v>1684</v>
      </c>
      <c r="C296" s="250" t="s">
        <v>3883</v>
      </c>
      <c r="D296" s="250" t="s">
        <v>1643</v>
      </c>
      <c r="K296" s="250">
        <v>0.55000000000000004</v>
      </c>
      <c r="L296" s="250">
        <v>63</v>
      </c>
      <c r="N296" s="250">
        <v>6.5</v>
      </c>
    </row>
    <row r="297" spans="2:14" ht="15" customHeight="1" x14ac:dyDescent="0.2">
      <c r="B297" s="250" t="s">
        <v>1685</v>
      </c>
      <c r="C297" s="250" t="s">
        <v>3883</v>
      </c>
      <c r="D297" s="250" t="s">
        <v>1643</v>
      </c>
      <c r="K297" s="250">
        <v>0.55000000000000004</v>
      </c>
      <c r="L297" s="250">
        <v>63</v>
      </c>
      <c r="N297" s="250">
        <v>6.5</v>
      </c>
    </row>
    <row r="298" spans="2:14" ht="15" customHeight="1" x14ac:dyDescent="0.2">
      <c r="B298" s="250" t="s">
        <v>1686</v>
      </c>
      <c r="C298" s="250" t="s">
        <v>3883</v>
      </c>
      <c r="D298" s="250" t="s">
        <v>1643</v>
      </c>
      <c r="K298" s="250">
        <v>0.55000000000000004</v>
      </c>
      <c r="L298" s="250">
        <v>63</v>
      </c>
      <c r="N298" s="250">
        <v>6.5</v>
      </c>
    </row>
    <row r="299" spans="2:14" ht="15" customHeight="1" x14ac:dyDescent="0.2">
      <c r="B299" s="250" t="s">
        <v>1687</v>
      </c>
      <c r="C299" s="250" t="s">
        <v>4073</v>
      </c>
      <c r="D299" s="250" t="s">
        <v>1643</v>
      </c>
      <c r="K299" s="250">
        <v>0.55000000000000004</v>
      </c>
      <c r="L299" s="250">
        <v>65</v>
      </c>
      <c r="N299" s="250">
        <v>6.5</v>
      </c>
    </row>
    <row r="300" spans="2:14" ht="15" customHeight="1" x14ac:dyDescent="0.2">
      <c r="B300" s="250" t="s">
        <v>1688</v>
      </c>
      <c r="C300" s="250" t="s">
        <v>3883</v>
      </c>
      <c r="D300" s="250" t="s">
        <v>1643</v>
      </c>
      <c r="K300" s="250">
        <v>0.55000000000000004</v>
      </c>
      <c r="L300" s="250">
        <v>30</v>
      </c>
      <c r="N300" s="250">
        <v>3</v>
      </c>
    </row>
    <row r="301" spans="2:14" ht="15" customHeight="1" x14ac:dyDescent="0.2">
      <c r="B301" s="250" t="s">
        <v>1689</v>
      </c>
      <c r="C301" s="250" t="s">
        <v>4073</v>
      </c>
      <c r="D301" s="250" t="s">
        <v>1643</v>
      </c>
      <c r="K301" s="250">
        <v>0.55000000000000004</v>
      </c>
      <c r="L301" s="250">
        <v>30</v>
      </c>
      <c r="N301" s="250">
        <v>3</v>
      </c>
    </row>
    <row r="302" spans="2:14" ht="15" customHeight="1" x14ac:dyDescent="0.2">
      <c r="B302" s="250" t="s">
        <v>1690</v>
      </c>
      <c r="C302" s="250" t="s">
        <v>4073</v>
      </c>
      <c r="D302" s="250" t="s">
        <v>1643</v>
      </c>
      <c r="K302" s="250">
        <v>0.55000000000000004</v>
      </c>
      <c r="L302" s="250">
        <v>30</v>
      </c>
      <c r="N302" s="250">
        <v>3</v>
      </c>
    </row>
    <row r="303" spans="2:14" ht="15" customHeight="1" x14ac:dyDescent="0.2">
      <c r="B303" s="250" t="s">
        <v>1691</v>
      </c>
      <c r="C303" s="250" t="s">
        <v>3883</v>
      </c>
      <c r="D303" s="250" t="s">
        <v>1643</v>
      </c>
      <c r="K303" s="250">
        <v>0.55000000000000004</v>
      </c>
      <c r="L303" s="250">
        <v>38</v>
      </c>
      <c r="N303" s="250">
        <v>4</v>
      </c>
    </row>
    <row r="304" spans="2:14" ht="15" customHeight="1" x14ac:dyDescent="0.2">
      <c r="B304" s="250" t="s">
        <v>1692</v>
      </c>
      <c r="C304" s="250" t="s">
        <v>4073</v>
      </c>
      <c r="D304" s="250" t="s">
        <v>1643</v>
      </c>
      <c r="K304" s="250">
        <v>0.55000000000000004</v>
      </c>
      <c r="L304" s="250">
        <v>38</v>
      </c>
      <c r="N304" s="250">
        <v>4</v>
      </c>
    </row>
    <row r="305" spans="2:14" ht="15" customHeight="1" x14ac:dyDescent="0.2">
      <c r="B305" s="250" t="s">
        <v>1693</v>
      </c>
      <c r="C305" s="250" t="s">
        <v>3883</v>
      </c>
      <c r="D305" s="250" t="s">
        <v>1643</v>
      </c>
      <c r="K305" s="250">
        <v>0.55000000000000004</v>
      </c>
      <c r="L305" s="250">
        <v>38</v>
      </c>
      <c r="N305" s="250">
        <v>4</v>
      </c>
    </row>
    <row r="306" spans="2:14" ht="15" customHeight="1" x14ac:dyDescent="0.2">
      <c r="B306" s="250" t="s">
        <v>1694</v>
      </c>
      <c r="C306" s="250" t="s">
        <v>3883</v>
      </c>
      <c r="D306" s="250" t="s">
        <v>1643</v>
      </c>
      <c r="K306" s="250">
        <v>0.55000000000000004</v>
      </c>
      <c r="L306" s="250">
        <v>56</v>
      </c>
      <c r="N306" s="250">
        <v>5.5</v>
      </c>
    </row>
    <row r="307" spans="2:14" ht="15" customHeight="1" x14ac:dyDescent="0.2">
      <c r="B307" s="250" t="s">
        <v>1695</v>
      </c>
      <c r="C307" s="250" t="s">
        <v>3883</v>
      </c>
      <c r="D307" s="250" t="s">
        <v>1643</v>
      </c>
      <c r="K307" s="250">
        <v>0.55000000000000004</v>
      </c>
      <c r="L307" s="250">
        <v>56</v>
      </c>
      <c r="N307" s="250">
        <v>5.5</v>
      </c>
    </row>
    <row r="308" spans="2:14" ht="15" customHeight="1" x14ac:dyDescent="0.2">
      <c r="B308" s="250" t="s">
        <v>1696</v>
      </c>
      <c r="C308" s="250" t="s">
        <v>3883</v>
      </c>
      <c r="D308" s="250" t="s">
        <v>1643</v>
      </c>
      <c r="K308" s="250">
        <v>0.55000000000000004</v>
      </c>
      <c r="L308" s="250">
        <v>56</v>
      </c>
      <c r="N308" s="250">
        <v>5.5</v>
      </c>
    </row>
    <row r="309" spans="2:14" ht="15" customHeight="1" x14ac:dyDescent="0.2">
      <c r="B309" s="250" t="s">
        <v>1697</v>
      </c>
      <c r="C309" s="250" t="s">
        <v>4073</v>
      </c>
      <c r="D309" s="250" t="s">
        <v>1643</v>
      </c>
      <c r="K309" s="250">
        <v>0.55000000000000004</v>
      </c>
      <c r="L309" s="250">
        <v>56</v>
      </c>
      <c r="N309" s="250">
        <v>6</v>
      </c>
    </row>
    <row r="310" spans="2:14" ht="15" customHeight="1" x14ac:dyDescent="0.2">
      <c r="B310" s="250" t="s">
        <v>1698</v>
      </c>
      <c r="C310" s="250" t="s">
        <v>3883</v>
      </c>
      <c r="D310" s="250" t="s">
        <v>1643</v>
      </c>
      <c r="K310" s="250">
        <v>0.55000000000000004</v>
      </c>
      <c r="L310" s="250">
        <v>56</v>
      </c>
      <c r="N310" s="250">
        <v>6</v>
      </c>
    </row>
    <row r="311" spans="2:14" ht="15" customHeight="1" x14ac:dyDescent="0.2">
      <c r="B311" s="250" t="s">
        <v>1699</v>
      </c>
      <c r="C311" s="250" t="s">
        <v>4073</v>
      </c>
      <c r="D311" s="250" t="s">
        <v>1643</v>
      </c>
      <c r="K311" s="250">
        <v>0.55000000000000004</v>
      </c>
      <c r="L311" s="250">
        <v>56</v>
      </c>
      <c r="N311" s="250">
        <v>6</v>
      </c>
    </row>
    <row r="312" spans="2:14" ht="15" customHeight="1" x14ac:dyDescent="0.2">
      <c r="B312" s="250" t="s">
        <v>1700</v>
      </c>
      <c r="C312" s="250" t="s">
        <v>3883</v>
      </c>
      <c r="D312" s="250" t="s">
        <v>1643</v>
      </c>
      <c r="K312" s="250">
        <v>0.55000000000000004</v>
      </c>
      <c r="L312" s="250">
        <v>65</v>
      </c>
      <c r="N312" s="250">
        <v>7</v>
      </c>
    </row>
    <row r="313" spans="2:14" ht="15" customHeight="1" x14ac:dyDescent="0.2">
      <c r="B313" s="250" t="s">
        <v>1701</v>
      </c>
      <c r="C313" s="250" t="s">
        <v>4073</v>
      </c>
      <c r="D313" s="250" t="s">
        <v>1643</v>
      </c>
      <c r="K313" s="250">
        <v>0.55000000000000004</v>
      </c>
      <c r="L313" s="250">
        <v>65</v>
      </c>
      <c r="N313" s="250">
        <v>7</v>
      </c>
    </row>
    <row r="314" spans="2:14" ht="15" customHeight="1" x14ac:dyDescent="0.2">
      <c r="B314" s="250" t="s">
        <v>1702</v>
      </c>
      <c r="C314" s="250" t="s">
        <v>4073</v>
      </c>
      <c r="D314" s="250" t="s">
        <v>1643</v>
      </c>
      <c r="K314" s="250">
        <v>0.55000000000000004</v>
      </c>
      <c r="L314" s="250">
        <v>65</v>
      </c>
      <c r="N314" s="250">
        <v>7</v>
      </c>
    </row>
    <row r="315" spans="2:14" ht="15" customHeight="1" x14ac:dyDescent="0.2">
      <c r="B315" s="250" t="s">
        <v>1703</v>
      </c>
      <c r="C315" s="250" t="s">
        <v>3883</v>
      </c>
      <c r="D315" s="250" t="s">
        <v>1643</v>
      </c>
      <c r="K315" s="250">
        <v>0.55000000000000004</v>
      </c>
      <c r="L315" s="250">
        <v>30</v>
      </c>
      <c r="N315" s="250">
        <v>2.5</v>
      </c>
    </row>
    <row r="316" spans="2:14" ht="15" customHeight="1" x14ac:dyDescent="0.2">
      <c r="B316" s="250" t="s">
        <v>1704</v>
      </c>
      <c r="C316" s="250" t="s">
        <v>3883</v>
      </c>
      <c r="D316" s="250" t="s">
        <v>1643</v>
      </c>
      <c r="K316" s="250">
        <v>0.55000000000000004</v>
      </c>
      <c r="L316" s="250">
        <v>30</v>
      </c>
      <c r="N316" s="250">
        <v>2.5</v>
      </c>
    </row>
    <row r="317" spans="2:14" ht="15" customHeight="1" x14ac:dyDescent="0.2">
      <c r="B317" s="250" t="s">
        <v>1705</v>
      </c>
      <c r="C317" s="250" t="s">
        <v>3883</v>
      </c>
      <c r="D317" s="250" t="s">
        <v>1643</v>
      </c>
      <c r="K317" s="250">
        <v>0.55000000000000004</v>
      </c>
      <c r="L317" s="250">
        <v>30</v>
      </c>
      <c r="N317" s="250">
        <v>2.5</v>
      </c>
    </row>
    <row r="318" spans="2:14" ht="15" customHeight="1" x14ac:dyDescent="0.2">
      <c r="B318" s="250" t="s">
        <v>1706</v>
      </c>
      <c r="C318" s="250" t="s">
        <v>4073</v>
      </c>
      <c r="D318" s="250" t="s">
        <v>1643</v>
      </c>
      <c r="K318" s="250">
        <v>0.55000000000000004</v>
      </c>
      <c r="L318" s="250">
        <v>30</v>
      </c>
      <c r="N318" s="250">
        <v>2.5</v>
      </c>
    </row>
    <row r="319" spans="2:14" ht="15" customHeight="1" x14ac:dyDescent="0.2">
      <c r="B319" s="250" t="s">
        <v>1707</v>
      </c>
      <c r="C319" s="250" t="s">
        <v>4073</v>
      </c>
      <c r="D319" s="250" t="s">
        <v>1643</v>
      </c>
      <c r="K319" s="250">
        <v>0.55000000000000004</v>
      </c>
      <c r="L319" s="250">
        <v>30</v>
      </c>
      <c r="N319" s="250">
        <v>2.5</v>
      </c>
    </row>
    <row r="320" spans="2:14" ht="15" customHeight="1" x14ac:dyDescent="0.2">
      <c r="B320" s="250" t="s">
        <v>1708</v>
      </c>
      <c r="C320" s="250" t="s">
        <v>4073</v>
      </c>
      <c r="D320" s="250" t="s">
        <v>1643</v>
      </c>
      <c r="K320" s="250">
        <v>0.55000000000000004</v>
      </c>
      <c r="L320" s="250">
        <v>30</v>
      </c>
      <c r="N320" s="250">
        <v>2.5</v>
      </c>
    </row>
    <row r="321" spans="2:14" ht="15" customHeight="1" x14ac:dyDescent="0.2">
      <c r="B321" s="250" t="s">
        <v>1709</v>
      </c>
      <c r="C321" s="250" t="s">
        <v>4073</v>
      </c>
      <c r="D321" s="250" t="s">
        <v>1643</v>
      </c>
      <c r="K321" s="250">
        <v>0.55000000000000004</v>
      </c>
      <c r="L321" s="250">
        <v>31</v>
      </c>
      <c r="N321" s="250">
        <v>2.5</v>
      </c>
    </row>
    <row r="322" spans="2:14" ht="15" customHeight="1" x14ac:dyDescent="0.2">
      <c r="B322" s="250" t="s">
        <v>1710</v>
      </c>
      <c r="C322" s="250" t="s">
        <v>4073</v>
      </c>
      <c r="D322" s="250" t="s">
        <v>1643</v>
      </c>
      <c r="K322" s="250">
        <v>0.55000000000000004</v>
      </c>
      <c r="L322" s="250">
        <v>39</v>
      </c>
      <c r="N322" s="250">
        <v>3.5</v>
      </c>
    </row>
    <row r="323" spans="2:14" ht="15" customHeight="1" x14ac:dyDescent="0.2">
      <c r="B323" s="250" t="s">
        <v>1711</v>
      </c>
      <c r="C323" s="250" t="s">
        <v>4073</v>
      </c>
      <c r="D323" s="250" t="s">
        <v>1643</v>
      </c>
      <c r="K323" s="250">
        <v>0.55000000000000004</v>
      </c>
      <c r="L323" s="250">
        <v>39</v>
      </c>
      <c r="N323" s="250">
        <v>3.5</v>
      </c>
    </row>
    <row r="324" spans="2:14" ht="15" customHeight="1" x14ac:dyDescent="0.2">
      <c r="B324" s="250" t="s">
        <v>1712</v>
      </c>
      <c r="C324" s="250" t="s">
        <v>3883</v>
      </c>
      <c r="D324" s="250" t="s">
        <v>1643</v>
      </c>
      <c r="K324" s="250">
        <v>0.55000000000000004</v>
      </c>
      <c r="L324" s="250">
        <v>39</v>
      </c>
      <c r="N324" s="250">
        <v>3.5</v>
      </c>
    </row>
    <row r="325" spans="2:14" ht="15" customHeight="1" x14ac:dyDescent="0.2">
      <c r="B325" s="250" t="s">
        <v>1713</v>
      </c>
      <c r="C325" s="250" t="s">
        <v>3883</v>
      </c>
      <c r="D325" s="250" t="s">
        <v>1643</v>
      </c>
      <c r="K325" s="250">
        <v>0.55000000000000004</v>
      </c>
      <c r="L325" s="250">
        <v>39</v>
      </c>
      <c r="N325" s="250">
        <v>3.5</v>
      </c>
    </row>
    <row r="326" spans="2:14" ht="15" customHeight="1" x14ac:dyDescent="0.2">
      <c r="B326" s="250" t="s">
        <v>1714</v>
      </c>
      <c r="C326" s="250" t="s">
        <v>3883</v>
      </c>
      <c r="D326" s="250" t="s">
        <v>1643</v>
      </c>
      <c r="K326" s="250">
        <v>0.55000000000000004</v>
      </c>
      <c r="L326" s="250">
        <v>39</v>
      </c>
      <c r="N326" s="250">
        <v>3.5</v>
      </c>
    </row>
    <row r="327" spans="2:14" ht="15" customHeight="1" x14ac:dyDescent="0.2">
      <c r="B327" s="250" t="s">
        <v>1715</v>
      </c>
      <c r="C327" s="250" t="s">
        <v>3883</v>
      </c>
      <c r="D327" s="250" t="s">
        <v>1643</v>
      </c>
      <c r="K327" s="250">
        <v>0.55000000000000004</v>
      </c>
      <c r="L327" s="250">
        <v>39</v>
      </c>
      <c r="N327" s="250">
        <v>3.5</v>
      </c>
    </row>
    <row r="328" spans="2:14" ht="15" customHeight="1" x14ac:dyDescent="0.2">
      <c r="B328" s="250" t="s">
        <v>1716</v>
      </c>
      <c r="C328" s="250" t="s">
        <v>4073</v>
      </c>
      <c r="D328" s="250" t="s">
        <v>1643</v>
      </c>
      <c r="K328" s="250">
        <v>0.55000000000000004</v>
      </c>
      <c r="L328" s="250">
        <v>40</v>
      </c>
      <c r="N328" s="250">
        <v>3.5</v>
      </c>
    </row>
    <row r="329" spans="2:14" ht="15" customHeight="1" x14ac:dyDescent="0.2">
      <c r="B329" s="250" t="s">
        <v>1717</v>
      </c>
      <c r="C329" s="250" t="s">
        <v>3883</v>
      </c>
      <c r="D329" s="250" t="s">
        <v>1643</v>
      </c>
      <c r="K329" s="250">
        <v>0.55000000000000004</v>
      </c>
      <c r="L329" s="250">
        <v>57</v>
      </c>
      <c r="N329" s="250">
        <v>5</v>
      </c>
    </row>
    <row r="330" spans="2:14" ht="15" customHeight="1" x14ac:dyDescent="0.2">
      <c r="B330" s="250" t="s">
        <v>1718</v>
      </c>
      <c r="C330" s="250" t="s">
        <v>4073</v>
      </c>
      <c r="D330" s="250" t="s">
        <v>1643</v>
      </c>
      <c r="K330" s="250">
        <v>0.55000000000000004</v>
      </c>
      <c r="L330" s="250">
        <v>57</v>
      </c>
      <c r="N330" s="250">
        <v>5</v>
      </c>
    </row>
    <row r="331" spans="2:14" ht="15" customHeight="1" x14ac:dyDescent="0.2">
      <c r="B331" s="250" t="s">
        <v>1719</v>
      </c>
      <c r="C331" s="250" t="s">
        <v>4073</v>
      </c>
      <c r="D331" s="250" t="s">
        <v>1643</v>
      </c>
      <c r="K331" s="250">
        <v>0.55000000000000004</v>
      </c>
      <c r="L331" s="250">
        <v>57</v>
      </c>
      <c r="N331" s="250">
        <v>5</v>
      </c>
    </row>
    <row r="332" spans="2:14" ht="15" customHeight="1" x14ac:dyDescent="0.2">
      <c r="B332" s="250" t="s">
        <v>1720</v>
      </c>
      <c r="C332" s="250" t="s">
        <v>3883</v>
      </c>
      <c r="D332" s="250" t="s">
        <v>1643</v>
      </c>
      <c r="K332" s="250">
        <v>0.55000000000000004</v>
      </c>
      <c r="L332" s="250">
        <v>57</v>
      </c>
      <c r="N332" s="250">
        <v>5</v>
      </c>
    </row>
    <row r="333" spans="2:14" ht="15" customHeight="1" x14ac:dyDescent="0.2">
      <c r="B333" s="250" t="s">
        <v>1721</v>
      </c>
      <c r="C333" s="250" t="s">
        <v>4073</v>
      </c>
      <c r="D333" s="250" t="s">
        <v>1643</v>
      </c>
      <c r="K333" s="250">
        <v>0.55000000000000004</v>
      </c>
      <c r="L333" s="250">
        <v>57</v>
      </c>
      <c r="N333" s="250">
        <v>5</v>
      </c>
    </row>
    <row r="334" spans="2:14" ht="15" customHeight="1" x14ac:dyDescent="0.2">
      <c r="B334" s="250" t="s">
        <v>1722</v>
      </c>
      <c r="C334" s="250" t="s">
        <v>4073</v>
      </c>
      <c r="D334" s="250" t="s">
        <v>1643</v>
      </c>
      <c r="K334" s="250">
        <v>0.55000000000000004</v>
      </c>
      <c r="L334" s="250">
        <v>57</v>
      </c>
      <c r="N334" s="250">
        <v>5</v>
      </c>
    </row>
    <row r="335" spans="2:14" ht="15" customHeight="1" x14ac:dyDescent="0.2">
      <c r="B335" s="250" t="s">
        <v>1723</v>
      </c>
      <c r="C335" s="250" t="s">
        <v>3883</v>
      </c>
      <c r="D335" s="250" t="s">
        <v>1643</v>
      </c>
      <c r="K335" s="250">
        <v>0.55000000000000004</v>
      </c>
      <c r="L335" s="250">
        <v>58</v>
      </c>
      <c r="N335" s="250">
        <v>5</v>
      </c>
    </row>
    <row r="336" spans="2:14" ht="15" customHeight="1" x14ac:dyDescent="0.2">
      <c r="B336" s="250" t="s">
        <v>1724</v>
      </c>
      <c r="C336" s="250" t="s">
        <v>3883</v>
      </c>
      <c r="D336" s="250" t="s">
        <v>1643</v>
      </c>
      <c r="K336" s="250">
        <v>0.55000000000000004</v>
      </c>
      <c r="L336" s="250">
        <v>57</v>
      </c>
      <c r="N336" s="250">
        <v>5.5</v>
      </c>
    </row>
    <row r="337" spans="2:14" ht="15" customHeight="1" x14ac:dyDescent="0.2">
      <c r="B337" s="250" t="s">
        <v>1725</v>
      </c>
      <c r="C337" s="250" t="s">
        <v>4073</v>
      </c>
      <c r="D337" s="250" t="s">
        <v>1643</v>
      </c>
      <c r="K337" s="250">
        <v>0.55000000000000004</v>
      </c>
      <c r="L337" s="250">
        <v>57</v>
      </c>
      <c r="N337" s="250">
        <v>5.5</v>
      </c>
    </row>
    <row r="338" spans="2:14" ht="15" customHeight="1" x14ac:dyDescent="0.2">
      <c r="B338" s="250" t="s">
        <v>1726</v>
      </c>
      <c r="C338" s="250" t="s">
        <v>4073</v>
      </c>
      <c r="D338" s="250" t="s">
        <v>1643</v>
      </c>
      <c r="K338" s="250">
        <v>0.55000000000000004</v>
      </c>
      <c r="L338" s="250">
        <v>57</v>
      </c>
      <c r="N338" s="250">
        <v>5.5</v>
      </c>
    </row>
    <row r="339" spans="2:14" ht="15" customHeight="1" x14ac:dyDescent="0.2">
      <c r="B339" s="250" t="s">
        <v>1727</v>
      </c>
      <c r="C339" s="250" t="s">
        <v>4073</v>
      </c>
      <c r="D339" s="250" t="s">
        <v>1643</v>
      </c>
      <c r="K339" s="250">
        <v>0.55000000000000004</v>
      </c>
      <c r="L339" s="250">
        <v>57</v>
      </c>
      <c r="N339" s="250">
        <v>5.5</v>
      </c>
    </row>
    <row r="340" spans="2:14" ht="15" customHeight="1" x14ac:dyDescent="0.2">
      <c r="B340" s="250" t="s">
        <v>1728</v>
      </c>
      <c r="C340" s="250" t="s">
        <v>4073</v>
      </c>
      <c r="D340" s="250" t="s">
        <v>1643</v>
      </c>
      <c r="K340" s="250">
        <v>0.55000000000000004</v>
      </c>
      <c r="L340" s="250">
        <v>57</v>
      </c>
      <c r="N340" s="250">
        <v>5.5</v>
      </c>
    </row>
    <row r="341" spans="2:14" ht="15" customHeight="1" x14ac:dyDescent="0.2">
      <c r="B341" s="250" t="s">
        <v>1729</v>
      </c>
      <c r="C341" s="250" t="s">
        <v>3883</v>
      </c>
      <c r="D341" s="250" t="s">
        <v>1643</v>
      </c>
      <c r="K341" s="250">
        <v>0.55000000000000004</v>
      </c>
      <c r="L341" s="250">
        <v>57</v>
      </c>
      <c r="N341" s="250">
        <v>5.5</v>
      </c>
    </row>
    <row r="342" spans="2:14" ht="15" customHeight="1" x14ac:dyDescent="0.2">
      <c r="B342" s="250" t="s">
        <v>1730</v>
      </c>
      <c r="C342" s="250" t="s">
        <v>4073</v>
      </c>
      <c r="D342" s="250" t="s">
        <v>1643</v>
      </c>
      <c r="K342" s="250">
        <v>0.55000000000000004</v>
      </c>
      <c r="L342" s="250">
        <v>58</v>
      </c>
      <c r="N342" s="250">
        <v>5.5</v>
      </c>
    </row>
    <row r="343" spans="2:14" ht="15" customHeight="1" x14ac:dyDescent="0.2">
      <c r="B343" s="250" t="s">
        <v>1731</v>
      </c>
      <c r="C343" s="250" t="s">
        <v>3883</v>
      </c>
      <c r="D343" s="250" t="s">
        <v>1643</v>
      </c>
      <c r="K343" s="250">
        <v>0.55000000000000004</v>
      </c>
      <c r="L343" s="250">
        <v>67</v>
      </c>
      <c r="N343" s="250">
        <v>6.5</v>
      </c>
    </row>
    <row r="344" spans="2:14" ht="15" customHeight="1" x14ac:dyDescent="0.2">
      <c r="B344" s="250" t="s">
        <v>1732</v>
      </c>
      <c r="C344" s="250" t="s">
        <v>3883</v>
      </c>
      <c r="D344" s="250" t="s">
        <v>1643</v>
      </c>
      <c r="K344" s="250">
        <v>0.55000000000000004</v>
      </c>
      <c r="L344" s="250">
        <v>67</v>
      </c>
      <c r="N344" s="250">
        <v>6.5</v>
      </c>
    </row>
    <row r="345" spans="2:14" ht="15" customHeight="1" x14ac:dyDescent="0.2">
      <c r="B345" s="250" t="s">
        <v>1733</v>
      </c>
      <c r="C345" s="250" t="s">
        <v>4073</v>
      </c>
      <c r="D345" s="250" t="s">
        <v>1643</v>
      </c>
      <c r="K345" s="250">
        <v>0.55000000000000004</v>
      </c>
      <c r="L345" s="250">
        <v>67</v>
      </c>
      <c r="N345" s="250">
        <v>6.5</v>
      </c>
    </row>
    <row r="346" spans="2:14" ht="15" customHeight="1" x14ac:dyDescent="0.2">
      <c r="B346" s="250" t="s">
        <v>1734</v>
      </c>
      <c r="C346" s="250" t="s">
        <v>3883</v>
      </c>
      <c r="D346" s="250" t="s">
        <v>1643</v>
      </c>
      <c r="K346" s="250">
        <v>0.55000000000000004</v>
      </c>
      <c r="L346" s="250">
        <v>67</v>
      </c>
      <c r="N346" s="250">
        <v>6.5</v>
      </c>
    </row>
    <row r="347" spans="2:14" ht="15" customHeight="1" x14ac:dyDescent="0.2">
      <c r="B347" s="250" t="s">
        <v>1735</v>
      </c>
      <c r="C347" s="250" t="s">
        <v>4073</v>
      </c>
      <c r="D347" s="250" t="s">
        <v>1643</v>
      </c>
      <c r="K347" s="250">
        <v>0.55000000000000004</v>
      </c>
      <c r="L347" s="250">
        <v>67</v>
      </c>
      <c r="N347" s="250">
        <v>6.5</v>
      </c>
    </row>
    <row r="348" spans="2:14" ht="15" customHeight="1" x14ac:dyDescent="0.2">
      <c r="B348" s="250" t="s">
        <v>1736</v>
      </c>
      <c r="C348" s="250" t="s">
        <v>3883</v>
      </c>
      <c r="D348" s="250" t="s">
        <v>1643</v>
      </c>
      <c r="K348" s="250">
        <v>0.55000000000000004</v>
      </c>
      <c r="L348" s="250">
        <v>67</v>
      </c>
      <c r="N348" s="250">
        <v>6.5</v>
      </c>
    </row>
    <row r="349" spans="2:14" ht="15" customHeight="1" x14ac:dyDescent="0.2">
      <c r="B349" s="250" t="s">
        <v>1737</v>
      </c>
      <c r="C349" s="250" t="s">
        <v>4073</v>
      </c>
      <c r="D349" s="250" t="s">
        <v>1643</v>
      </c>
      <c r="K349" s="250">
        <v>0.55000000000000004</v>
      </c>
      <c r="L349" s="250">
        <v>68</v>
      </c>
      <c r="N349" s="250">
        <v>6.5</v>
      </c>
    </row>
    <row r="350" spans="2:14" ht="15" customHeight="1" x14ac:dyDescent="0.2">
      <c r="B350" s="250" t="s">
        <v>1738</v>
      </c>
      <c r="C350" s="250" t="s">
        <v>3883</v>
      </c>
      <c r="D350" s="250" t="s">
        <v>1643</v>
      </c>
      <c r="K350" s="250">
        <v>0.55000000000000004</v>
      </c>
      <c r="L350" s="250">
        <v>31</v>
      </c>
      <c r="N350" s="250">
        <v>3</v>
      </c>
    </row>
    <row r="351" spans="2:14" ht="15" customHeight="1" x14ac:dyDescent="0.2">
      <c r="B351" s="250" t="s">
        <v>1739</v>
      </c>
      <c r="C351" s="250" t="s">
        <v>4073</v>
      </c>
      <c r="D351" s="250" t="s">
        <v>1643</v>
      </c>
      <c r="K351" s="250">
        <v>0.55000000000000004</v>
      </c>
      <c r="L351" s="250">
        <v>31</v>
      </c>
      <c r="N351" s="250">
        <v>3</v>
      </c>
    </row>
    <row r="352" spans="2:14" ht="15" customHeight="1" x14ac:dyDescent="0.2">
      <c r="B352" s="250" t="s">
        <v>1740</v>
      </c>
      <c r="C352" s="250" t="s">
        <v>4073</v>
      </c>
      <c r="D352" s="250" t="s">
        <v>1643</v>
      </c>
      <c r="K352" s="250">
        <v>0.55000000000000004</v>
      </c>
      <c r="L352" s="250">
        <v>31</v>
      </c>
      <c r="N352" s="250">
        <v>3</v>
      </c>
    </row>
    <row r="353" spans="2:14" ht="15" customHeight="1" x14ac:dyDescent="0.2">
      <c r="B353" s="250" t="s">
        <v>1741</v>
      </c>
      <c r="C353" s="250" t="s">
        <v>4073</v>
      </c>
      <c r="D353" s="250" t="s">
        <v>1643</v>
      </c>
      <c r="K353" s="250">
        <v>0.55000000000000004</v>
      </c>
      <c r="L353" s="250">
        <v>40</v>
      </c>
      <c r="N353" s="250">
        <v>4</v>
      </c>
    </row>
    <row r="354" spans="2:14" ht="15" customHeight="1" x14ac:dyDescent="0.2">
      <c r="B354" s="250" t="s">
        <v>1742</v>
      </c>
      <c r="C354" s="250" t="s">
        <v>3883</v>
      </c>
      <c r="D354" s="250" t="s">
        <v>1643</v>
      </c>
      <c r="K354" s="250">
        <v>0.55000000000000004</v>
      </c>
      <c r="L354" s="250">
        <v>40</v>
      </c>
      <c r="N354" s="250">
        <v>4</v>
      </c>
    </row>
    <row r="355" spans="2:14" ht="15" customHeight="1" x14ac:dyDescent="0.2">
      <c r="B355" s="250" t="s">
        <v>1743</v>
      </c>
      <c r="C355" s="250" t="s">
        <v>3883</v>
      </c>
      <c r="D355" s="250" t="s">
        <v>1643</v>
      </c>
      <c r="K355" s="250">
        <v>0.55000000000000004</v>
      </c>
      <c r="L355" s="250">
        <v>40</v>
      </c>
      <c r="N355" s="250">
        <v>4</v>
      </c>
    </row>
    <row r="356" spans="2:14" ht="15" customHeight="1" x14ac:dyDescent="0.2">
      <c r="B356" s="250" t="s">
        <v>1744</v>
      </c>
      <c r="C356" s="250" t="s">
        <v>4073</v>
      </c>
      <c r="D356" s="250" t="s">
        <v>1643</v>
      </c>
      <c r="K356" s="250">
        <v>0.55000000000000004</v>
      </c>
      <c r="L356" s="250">
        <v>59</v>
      </c>
      <c r="N356" s="250">
        <v>5.5</v>
      </c>
    </row>
    <row r="357" spans="2:14" ht="15" customHeight="1" x14ac:dyDescent="0.2">
      <c r="B357" s="250" t="s">
        <v>1745</v>
      </c>
      <c r="C357" s="250" t="s">
        <v>4073</v>
      </c>
      <c r="D357" s="250" t="s">
        <v>1643</v>
      </c>
      <c r="K357" s="250">
        <v>0.55000000000000004</v>
      </c>
      <c r="L357" s="250">
        <v>59</v>
      </c>
      <c r="N357" s="250">
        <v>5.5</v>
      </c>
    </row>
    <row r="358" spans="2:14" ht="15" customHeight="1" x14ac:dyDescent="0.2">
      <c r="B358" s="250" t="s">
        <v>1746</v>
      </c>
      <c r="C358" s="250" t="s">
        <v>3883</v>
      </c>
      <c r="D358" s="250" t="s">
        <v>1643</v>
      </c>
      <c r="K358" s="250">
        <v>0.55000000000000004</v>
      </c>
      <c r="L358" s="250">
        <v>59</v>
      </c>
      <c r="N358" s="250">
        <v>5.5</v>
      </c>
    </row>
    <row r="359" spans="2:14" ht="15" customHeight="1" x14ac:dyDescent="0.2">
      <c r="B359" s="250" t="s">
        <v>1747</v>
      </c>
      <c r="C359" s="250" t="s">
        <v>4073</v>
      </c>
      <c r="D359" s="250" t="s">
        <v>1643</v>
      </c>
      <c r="K359" s="250">
        <v>0.55000000000000004</v>
      </c>
      <c r="L359" s="250">
        <v>59</v>
      </c>
      <c r="N359" s="250">
        <v>6</v>
      </c>
    </row>
    <row r="360" spans="2:14" ht="15" customHeight="1" x14ac:dyDescent="0.2">
      <c r="B360" s="250" t="s">
        <v>1748</v>
      </c>
      <c r="C360" s="250" t="s">
        <v>3883</v>
      </c>
      <c r="D360" s="250" t="s">
        <v>1643</v>
      </c>
      <c r="K360" s="250">
        <v>0.55000000000000004</v>
      </c>
      <c r="L360" s="250">
        <v>59</v>
      </c>
      <c r="N360" s="250">
        <v>6</v>
      </c>
    </row>
    <row r="361" spans="2:14" ht="15" customHeight="1" x14ac:dyDescent="0.2">
      <c r="B361" s="250" t="s">
        <v>1749</v>
      </c>
      <c r="C361" s="250" t="s">
        <v>4073</v>
      </c>
      <c r="D361" s="250" t="s">
        <v>1643</v>
      </c>
      <c r="K361" s="250">
        <v>0.55000000000000004</v>
      </c>
      <c r="L361" s="250">
        <v>59</v>
      </c>
      <c r="N361" s="250">
        <v>6</v>
      </c>
    </row>
    <row r="362" spans="2:14" ht="15" customHeight="1" x14ac:dyDescent="0.2">
      <c r="B362" s="250" t="s">
        <v>1750</v>
      </c>
      <c r="C362" s="250" t="s">
        <v>3883</v>
      </c>
      <c r="D362" s="250" t="s">
        <v>1643</v>
      </c>
      <c r="K362" s="250">
        <v>0.55000000000000004</v>
      </c>
      <c r="L362" s="250">
        <v>69</v>
      </c>
      <c r="N362" s="250">
        <v>7</v>
      </c>
    </row>
    <row r="363" spans="2:14" ht="15" customHeight="1" x14ac:dyDescent="0.2">
      <c r="B363" s="250" t="s">
        <v>1751</v>
      </c>
      <c r="C363" s="250" t="s">
        <v>3883</v>
      </c>
      <c r="D363" s="250" t="s">
        <v>1643</v>
      </c>
      <c r="K363" s="250">
        <v>0.55000000000000004</v>
      </c>
      <c r="L363" s="250">
        <v>69</v>
      </c>
      <c r="N363" s="250">
        <v>7</v>
      </c>
    </row>
    <row r="364" spans="2:14" ht="15" customHeight="1" x14ac:dyDescent="0.2">
      <c r="B364" s="250" t="s">
        <v>1752</v>
      </c>
      <c r="C364" s="250" t="s">
        <v>4073</v>
      </c>
      <c r="D364" s="250" t="s">
        <v>1643</v>
      </c>
      <c r="K364" s="250">
        <v>0.55000000000000004</v>
      </c>
      <c r="L364" s="250">
        <v>69</v>
      </c>
      <c r="N364" s="250">
        <v>7</v>
      </c>
    </row>
    <row r="365" spans="2:14" ht="15" customHeight="1" x14ac:dyDescent="0.2">
      <c r="B365" s="250" t="s">
        <v>3459</v>
      </c>
      <c r="C365" s="250" t="s">
        <v>4073</v>
      </c>
      <c r="D365" s="250" t="s">
        <v>1555</v>
      </c>
      <c r="K365" s="250">
        <v>0.55000000000000004</v>
      </c>
      <c r="L365" s="250">
        <v>12</v>
      </c>
      <c r="N365" s="250">
        <v>1</v>
      </c>
    </row>
    <row r="366" spans="2:14" ht="15" customHeight="1" x14ac:dyDescent="0.2">
      <c r="B366" s="250" t="s">
        <v>3460</v>
      </c>
      <c r="C366" s="250" t="s">
        <v>4073</v>
      </c>
      <c r="D366" s="250" t="s">
        <v>1555</v>
      </c>
      <c r="K366" s="250">
        <v>0.55000000000000004</v>
      </c>
      <c r="L366" s="250">
        <v>12</v>
      </c>
      <c r="N366" s="250">
        <v>1</v>
      </c>
    </row>
    <row r="367" spans="2:14" ht="15" customHeight="1" x14ac:dyDescent="0.2">
      <c r="B367" s="250" t="s">
        <v>3461</v>
      </c>
      <c r="C367" s="250" t="s">
        <v>4073</v>
      </c>
      <c r="D367" s="250" t="s">
        <v>1555</v>
      </c>
      <c r="K367" s="250">
        <v>0.55000000000000004</v>
      </c>
      <c r="L367" s="250">
        <v>12</v>
      </c>
      <c r="N367" s="250">
        <v>1</v>
      </c>
    </row>
    <row r="368" spans="2:14" ht="15" customHeight="1" x14ac:dyDescent="0.2">
      <c r="B368" s="250" t="s">
        <v>3462</v>
      </c>
      <c r="C368" s="250" t="s">
        <v>4073</v>
      </c>
      <c r="D368" s="250" t="s">
        <v>1555</v>
      </c>
      <c r="K368" s="250">
        <v>0.55000000000000004</v>
      </c>
      <c r="L368" s="250">
        <v>12</v>
      </c>
      <c r="N368" s="250">
        <v>1</v>
      </c>
    </row>
    <row r="369" spans="2:14" ht="15" customHeight="1" x14ac:dyDescent="0.2">
      <c r="B369" s="250" t="s">
        <v>3463</v>
      </c>
      <c r="C369" s="250" t="s">
        <v>3883</v>
      </c>
      <c r="D369" s="250" t="s">
        <v>1555</v>
      </c>
      <c r="K369" s="250">
        <v>0.55000000000000004</v>
      </c>
      <c r="L369" s="250">
        <v>12</v>
      </c>
      <c r="N369" s="250">
        <v>1</v>
      </c>
    </row>
    <row r="370" spans="2:14" ht="15" customHeight="1" x14ac:dyDescent="0.2">
      <c r="B370" s="250" t="s">
        <v>3464</v>
      </c>
      <c r="C370" s="250" t="s">
        <v>4073</v>
      </c>
      <c r="D370" s="250" t="s">
        <v>1555</v>
      </c>
      <c r="K370" s="250">
        <v>0.55000000000000004</v>
      </c>
      <c r="L370" s="250">
        <v>12</v>
      </c>
      <c r="N370" s="250">
        <v>1</v>
      </c>
    </row>
    <row r="371" spans="2:14" ht="15" customHeight="1" x14ac:dyDescent="0.2">
      <c r="B371" s="250" t="s">
        <v>3465</v>
      </c>
      <c r="C371" s="250" t="s">
        <v>3883</v>
      </c>
      <c r="D371" s="250" t="s">
        <v>1643</v>
      </c>
      <c r="K371" s="250">
        <v>0.55000000000000004</v>
      </c>
      <c r="L371" s="250">
        <v>24</v>
      </c>
      <c r="N371" s="250">
        <v>2</v>
      </c>
    </row>
    <row r="372" spans="2:14" ht="15" customHeight="1" x14ac:dyDescent="0.2">
      <c r="B372" s="250" t="s">
        <v>3466</v>
      </c>
      <c r="C372" s="250" t="s">
        <v>3883</v>
      </c>
      <c r="D372" s="250" t="s">
        <v>1643</v>
      </c>
      <c r="K372" s="250">
        <v>0.55000000000000004</v>
      </c>
      <c r="L372" s="250">
        <v>24</v>
      </c>
      <c r="N372" s="250">
        <v>2</v>
      </c>
    </row>
    <row r="373" spans="2:14" ht="15" customHeight="1" x14ac:dyDescent="0.2">
      <c r="B373" s="250" t="s">
        <v>3467</v>
      </c>
      <c r="C373" s="250" t="s">
        <v>3883</v>
      </c>
      <c r="D373" s="250" t="s">
        <v>1643</v>
      </c>
      <c r="K373" s="250">
        <v>0.55000000000000004</v>
      </c>
      <c r="L373" s="250">
        <v>24</v>
      </c>
      <c r="N373" s="250">
        <v>2</v>
      </c>
    </row>
    <row r="374" spans="2:14" ht="15" customHeight="1" x14ac:dyDescent="0.2">
      <c r="B374" s="250" t="s">
        <v>3468</v>
      </c>
      <c r="C374" s="250" t="s">
        <v>3883</v>
      </c>
      <c r="D374" s="250" t="s">
        <v>1643</v>
      </c>
      <c r="K374" s="250">
        <v>0.55000000000000004</v>
      </c>
      <c r="L374" s="250">
        <v>24</v>
      </c>
      <c r="N374" s="250">
        <v>2</v>
      </c>
    </row>
    <row r="375" spans="2:14" ht="15" customHeight="1" x14ac:dyDescent="0.2">
      <c r="B375" s="250" t="s">
        <v>3469</v>
      </c>
      <c r="C375" s="250" t="s">
        <v>3883</v>
      </c>
      <c r="D375" s="250" t="s">
        <v>1643</v>
      </c>
      <c r="K375" s="250">
        <v>0.55000000000000004</v>
      </c>
      <c r="L375" s="250">
        <v>24</v>
      </c>
      <c r="N375" s="250">
        <v>2</v>
      </c>
    </row>
    <row r="376" spans="2:14" ht="15" customHeight="1" x14ac:dyDescent="0.2">
      <c r="B376" s="250" t="s">
        <v>3470</v>
      </c>
      <c r="C376" s="250" t="s">
        <v>4073</v>
      </c>
      <c r="D376" s="250" t="s">
        <v>1643</v>
      </c>
      <c r="K376" s="250">
        <v>0.55000000000000004</v>
      </c>
      <c r="L376" s="250">
        <v>24</v>
      </c>
      <c r="N376" s="250">
        <v>2</v>
      </c>
    </row>
    <row r="377" spans="2:14" ht="15" customHeight="1" x14ac:dyDescent="0.2">
      <c r="B377" s="250" t="s">
        <v>3471</v>
      </c>
      <c r="C377" s="250" t="s">
        <v>3883</v>
      </c>
      <c r="D377" s="250" t="s">
        <v>1555</v>
      </c>
      <c r="K377" s="250">
        <v>0.55000000000000004</v>
      </c>
      <c r="L377" s="250">
        <v>22</v>
      </c>
      <c r="N377" s="250">
        <v>1.5</v>
      </c>
    </row>
    <row r="378" spans="2:14" ht="15" customHeight="1" x14ac:dyDescent="0.2">
      <c r="B378" s="250" t="s">
        <v>3472</v>
      </c>
      <c r="C378" s="250" t="s">
        <v>4073</v>
      </c>
      <c r="D378" s="250" t="s">
        <v>1555</v>
      </c>
      <c r="K378" s="250">
        <v>0.55000000000000004</v>
      </c>
      <c r="L378" s="250">
        <v>22</v>
      </c>
      <c r="N378" s="250">
        <v>1.5</v>
      </c>
    </row>
    <row r="379" spans="2:14" ht="15" customHeight="1" x14ac:dyDescent="0.2">
      <c r="B379" s="250" t="s">
        <v>3473</v>
      </c>
      <c r="C379" s="250" t="s">
        <v>4073</v>
      </c>
      <c r="D379" s="250" t="s">
        <v>1555</v>
      </c>
      <c r="K379" s="250">
        <v>0.55000000000000004</v>
      </c>
      <c r="L379" s="250">
        <v>22</v>
      </c>
      <c r="N379" s="250">
        <v>1.5</v>
      </c>
    </row>
    <row r="380" spans="2:14" ht="15" customHeight="1" x14ac:dyDescent="0.2">
      <c r="B380" s="250" t="s">
        <v>3474</v>
      </c>
      <c r="C380" s="250" t="s">
        <v>3883</v>
      </c>
      <c r="D380" s="250" t="s">
        <v>1555</v>
      </c>
      <c r="K380" s="250">
        <v>0.55000000000000004</v>
      </c>
      <c r="L380" s="250">
        <v>25</v>
      </c>
      <c r="N380" s="250">
        <v>1.5</v>
      </c>
    </row>
    <row r="381" spans="2:14" ht="15" customHeight="1" x14ac:dyDescent="0.2">
      <c r="B381" s="250" t="s">
        <v>3475</v>
      </c>
      <c r="C381" s="250" t="s">
        <v>4073</v>
      </c>
      <c r="D381" s="250" t="s">
        <v>1555</v>
      </c>
      <c r="K381" s="250">
        <v>0.55000000000000004</v>
      </c>
      <c r="L381" s="250">
        <v>44</v>
      </c>
      <c r="N381" s="250">
        <v>3</v>
      </c>
    </row>
    <row r="382" spans="2:14" ht="15" customHeight="1" x14ac:dyDescent="0.2">
      <c r="B382" s="250" t="s">
        <v>3476</v>
      </c>
      <c r="C382" s="250" t="s">
        <v>4073</v>
      </c>
      <c r="D382" s="250" t="s">
        <v>1555</v>
      </c>
      <c r="K382" s="250">
        <v>0.55000000000000004</v>
      </c>
      <c r="L382" s="250">
        <v>44</v>
      </c>
      <c r="N382" s="250">
        <v>3</v>
      </c>
    </row>
    <row r="383" spans="2:14" ht="15" customHeight="1" x14ac:dyDescent="0.2">
      <c r="B383" s="250" t="s">
        <v>3477</v>
      </c>
      <c r="C383" s="250" t="s">
        <v>3883</v>
      </c>
      <c r="D383" s="250" t="s">
        <v>1555</v>
      </c>
      <c r="K383" s="250">
        <v>0.55000000000000004</v>
      </c>
      <c r="L383" s="250">
        <v>44</v>
      </c>
      <c r="N383" s="250">
        <v>3</v>
      </c>
    </row>
    <row r="384" spans="2:14" ht="15" customHeight="1" x14ac:dyDescent="0.2">
      <c r="B384" s="250" t="s">
        <v>3478</v>
      </c>
      <c r="C384" s="250" t="s">
        <v>4073</v>
      </c>
      <c r="D384" s="250" t="s">
        <v>1555</v>
      </c>
      <c r="K384" s="250">
        <v>0.55000000000000004</v>
      </c>
      <c r="L384" s="250">
        <v>50</v>
      </c>
      <c r="N384" s="250">
        <v>3</v>
      </c>
    </row>
    <row r="385" spans="1:14" ht="15" customHeight="1" x14ac:dyDescent="0.2">
      <c r="B385" s="250" t="s">
        <v>3479</v>
      </c>
      <c r="C385" s="250" t="s">
        <v>4073</v>
      </c>
      <c r="D385" s="250" t="s">
        <v>1555</v>
      </c>
      <c r="K385" s="250">
        <v>0.55000000000000004</v>
      </c>
      <c r="L385" s="250">
        <v>66</v>
      </c>
      <c r="N385" s="250">
        <v>4.5</v>
      </c>
    </row>
    <row r="386" spans="1:14" ht="15" customHeight="1" x14ac:dyDescent="0.2">
      <c r="B386" s="250" t="s">
        <v>3480</v>
      </c>
      <c r="C386" s="250" t="s">
        <v>4073</v>
      </c>
      <c r="D386" s="250" t="s">
        <v>1555</v>
      </c>
      <c r="K386" s="250">
        <v>0.55000000000000004</v>
      </c>
      <c r="L386" s="250">
        <v>66</v>
      </c>
      <c r="N386" s="250">
        <v>4.5</v>
      </c>
    </row>
    <row r="387" spans="1:14" ht="15" customHeight="1" x14ac:dyDescent="0.2">
      <c r="B387" s="250" t="s">
        <v>3481</v>
      </c>
      <c r="C387" s="250" t="s">
        <v>3883</v>
      </c>
      <c r="D387" s="250" t="s">
        <v>1555</v>
      </c>
      <c r="K387" s="250">
        <v>0.55000000000000004</v>
      </c>
      <c r="L387" s="250">
        <v>66</v>
      </c>
      <c r="N387" s="250">
        <v>4.5</v>
      </c>
    </row>
    <row r="388" spans="1:14" ht="15" customHeight="1" x14ac:dyDescent="0.2">
      <c r="B388" s="250" t="s">
        <v>3482</v>
      </c>
      <c r="C388" s="250" t="s">
        <v>3883</v>
      </c>
      <c r="D388" s="250" t="s">
        <v>1555</v>
      </c>
      <c r="K388" s="250">
        <v>0.55000000000000004</v>
      </c>
      <c r="L388" s="250">
        <v>75</v>
      </c>
      <c r="N388" s="250">
        <v>4.5</v>
      </c>
    </row>
    <row r="389" spans="1:14" ht="15" customHeight="1" x14ac:dyDescent="0.2">
      <c r="B389" s="250" t="s">
        <v>3483</v>
      </c>
      <c r="C389" s="250" t="s">
        <v>4073</v>
      </c>
      <c r="D389" s="250" t="s">
        <v>1555</v>
      </c>
      <c r="K389" s="250">
        <v>0.55000000000000004</v>
      </c>
      <c r="L389" s="250">
        <v>88</v>
      </c>
      <c r="N389" s="250">
        <v>6</v>
      </c>
    </row>
    <row r="390" spans="1:14" ht="15" customHeight="1" x14ac:dyDescent="0.2">
      <c r="B390" s="250" t="s">
        <v>3484</v>
      </c>
      <c r="C390" s="250" t="s">
        <v>4073</v>
      </c>
      <c r="D390" s="250" t="s">
        <v>1555</v>
      </c>
      <c r="K390" s="250">
        <v>0.55000000000000004</v>
      </c>
      <c r="L390" s="250">
        <v>88</v>
      </c>
      <c r="N390" s="250">
        <v>6</v>
      </c>
    </row>
    <row r="391" spans="1:14" ht="15" customHeight="1" x14ac:dyDescent="0.2">
      <c r="B391" s="250" t="s">
        <v>3485</v>
      </c>
      <c r="C391" s="250" t="s">
        <v>4073</v>
      </c>
      <c r="D391" s="250" t="s">
        <v>1555</v>
      </c>
      <c r="K391" s="250">
        <v>0.55000000000000004</v>
      </c>
      <c r="L391" s="250">
        <v>88</v>
      </c>
      <c r="N391" s="250">
        <v>6</v>
      </c>
    </row>
    <row r="392" spans="1:14" ht="15" customHeight="1" x14ac:dyDescent="0.2">
      <c r="B392" s="250" t="s">
        <v>3486</v>
      </c>
      <c r="C392" s="250" t="s">
        <v>3883</v>
      </c>
      <c r="D392" s="250" t="s">
        <v>1555</v>
      </c>
      <c r="K392" s="250">
        <v>0.55000000000000004</v>
      </c>
      <c r="L392" s="250">
        <v>100</v>
      </c>
      <c r="N392" s="250">
        <v>6</v>
      </c>
    </row>
    <row r="393" spans="1:14" ht="15" customHeight="1" x14ac:dyDescent="0.2">
      <c r="A393" s="250"/>
      <c r="B393" s="250" t="s">
        <v>3487</v>
      </c>
      <c r="C393" s="250" t="s">
        <v>3883</v>
      </c>
      <c r="D393" s="252" t="s">
        <v>1643</v>
      </c>
      <c r="K393" s="250">
        <v>0.55000000000000004</v>
      </c>
      <c r="L393" s="250">
        <v>83</v>
      </c>
      <c r="N393" s="250">
        <v>3</v>
      </c>
    </row>
    <row r="394" spans="1:14" ht="15" customHeight="1" x14ac:dyDescent="0.2">
      <c r="A394" s="250"/>
      <c r="B394" s="250" t="s">
        <v>3488</v>
      </c>
      <c r="C394" s="250" t="s">
        <v>3883</v>
      </c>
      <c r="D394" s="252" t="s">
        <v>1643</v>
      </c>
      <c r="K394" s="250">
        <v>0.55000000000000004</v>
      </c>
      <c r="L394" s="250">
        <v>83</v>
      </c>
      <c r="N394" s="250">
        <v>3</v>
      </c>
    </row>
    <row r="395" spans="1:14" ht="15" customHeight="1" x14ac:dyDescent="0.2">
      <c r="A395" s="250"/>
      <c r="B395" s="250" t="s">
        <v>3489</v>
      </c>
      <c r="C395" s="250" t="s">
        <v>4073</v>
      </c>
      <c r="D395" s="252" t="s">
        <v>1643</v>
      </c>
      <c r="K395" s="250">
        <v>0.55000000000000004</v>
      </c>
      <c r="L395" s="250">
        <v>83</v>
      </c>
      <c r="N395" s="250">
        <v>3</v>
      </c>
    </row>
    <row r="396" spans="1:14" ht="15" customHeight="1" x14ac:dyDescent="0.2">
      <c r="A396" s="250"/>
      <c r="B396" s="250" t="s">
        <v>3490</v>
      </c>
      <c r="C396" s="250" t="s">
        <v>4073</v>
      </c>
      <c r="D396" s="252" t="s">
        <v>1643</v>
      </c>
      <c r="K396" s="250">
        <v>0.55000000000000004</v>
      </c>
      <c r="L396" s="250">
        <v>83</v>
      </c>
      <c r="N396" s="250">
        <v>3</v>
      </c>
    </row>
    <row r="397" spans="1:14" ht="15" customHeight="1" x14ac:dyDescent="0.2">
      <c r="A397" s="250"/>
      <c r="B397" s="250" t="s">
        <v>3491</v>
      </c>
      <c r="C397" s="250" t="s">
        <v>4073</v>
      </c>
      <c r="D397" s="252" t="s">
        <v>1643</v>
      </c>
      <c r="K397" s="250">
        <v>0.55000000000000004</v>
      </c>
      <c r="L397" s="250">
        <v>105</v>
      </c>
      <c r="N397" s="250">
        <v>4.5</v>
      </c>
    </row>
    <row r="398" spans="1:14" ht="15" customHeight="1" x14ac:dyDescent="0.2">
      <c r="A398" s="250"/>
      <c r="B398" s="250" t="s">
        <v>3492</v>
      </c>
      <c r="C398" s="250" t="s">
        <v>4073</v>
      </c>
      <c r="D398" s="252" t="s">
        <v>1643</v>
      </c>
      <c r="K398" s="250">
        <v>0.55000000000000004</v>
      </c>
      <c r="L398" s="250">
        <v>105</v>
      </c>
      <c r="N398" s="250">
        <v>4.5</v>
      </c>
    </row>
    <row r="399" spans="1:14" ht="15" customHeight="1" x14ac:dyDescent="0.2">
      <c r="A399" s="250"/>
      <c r="B399" s="250" t="s">
        <v>3493</v>
      </c>
      <c r="C399" s="250" t="s">
        <v>4073</v>
      </c>
      <c r="D399" s="252" t="s">
        <v>1643</v>
      </c>
      <c r="K399" s="250">
        <v>0.55000000000000004</v>
      </c>
      <c r="L399" s="250">
        <v>105</v>
      </c>
      <c r="N399" s="250">
        <v>4.5</v>
      </c>
    </row>
    <row r="400" spans="1:14" ht="15" customHeight="1" x14ac:dyDescent="0.2">
      <c r="A400" s="250"/>
      <c r="B400" s="250" t="s">
        <v>3494</v>
      </c>
      <c r="C400" s="250" t="s">
        <v>4073</v>
      </c>
      <c r="D400" s="252" t="s">
        <v>1643</v>
      </c>
      <c r="K400" s="250">
        <v>0.55000000000000004</v>
      </c>
      <c r="L400" s="250">
        <v>105</v>
      </c>
      <c r="N400" s="250">
        <v>4.5</v>
      </c>
    </row>
    <row r="401" spans="1:14" ht="15" customHeight="1" x14ac:dyDescent="0.2">
      <c r="A401" s="250"/>
      <c r="B401" s="250" t="s">
        <v>3495</v>
      </c>
      <c r="C401" s="250" t="s">
        <v>3883</v>
      </c>
      <c r="D401" s="252" t="s">
        <v>1643</v>
      </c>
      <c r="K401" s="250">
        <v>0.55000000000000004</v>
      </c>
      <c r="L401" s="250">
        <v>160</v>
      </c>
      <c r="N401" s="250">
        <v>6</v>
      </c>
    </row>
    <row r="402" spans="1:14" ht="15" customHeight="1" x14ac:dyDescent="0.2">
      <c r="A402" s="250"/>
      <c r="B402" s="250" t="s">
        <v>3496</v>
      </c>
      <c r="C402" s="250" t="s">
        <v>3883</v>
      </c>
      <c r="D402" s="252" t="s">
        <v>1643</v>
      </c>
      <c r="K402" s="250">
        <v>0.55000000000000004</v>
      </c>
      <c r="L402" s="250">
        <v>160</v>
      </c>
      <c r="N402" s="250">
        <v>6</v>
      </c>
    </row>
    <row r="403" spans="1:14" ht="15" customHeight="1" x14ac:dyDescent="0.2">
      <c r="A403" s="250"/>
      <c r="B403" s="250" t="s">
        <v>3497</v>
      </c>
      <c r="C403" s="250" t="s">
        <v>3883</v>
      </c>
      <c r="D403" s="252" t="s">
        <v>1643</v>
      </c>
      <c r="K403" s="250">
        <v>0.55000000000000004</v>
      </c>
      <c r="L403" s="250">
        <v>160</v>
      </c>
      <c r="N403" s="250">
        <v>6</v>
      </c>
    </row>
    <row r="404" spans="1:14" ht="15" customHeight="1" x14ac:dyDescent="0.2">
      <c r="A404" s="250"/>
      <c r="B404" s="250" t="s">
        <v>3498</v>
      </c>
      <c r="C404" s="250" t="s">
        <v>3883</v>
      </c>
      <c r="D404" s="252" t="s">
        <v>1643</v>
      </c>
      <c r="K404" s="250">
        <v>0.55000000000000004</v>
      </c>
      <c r="L404" s="250">
        <v>160</v>
      </c>
      <c r="N404" s="250">
        <v>6</v>
      </c>
    </row>
    <row r="405" spans="1:14" ht="15" customHeight="1" x14ac:dyDescent="0.2">
      <c r="A405" s="250"/>
      <c r="B405" s="250" t="s">
        <v>3499</v>
      </c>
      <c r="C405" s="250" t="s">
        <v>4073</v>
      </c>
      <c r="D405" s="252" t="s">
        <v>1643</v>
      </c>
      <c r="K405" s="250">
        <v>0.55000000000000004</v>
      </c>
      <c r="L405" s="250">
        <v>160</v>
      </c>
      <c r="N405" s="250">
        <v>6</v>
      </c>
    </row>
    <row r="406" spans="1:14" ht="15" customHeight="1" x14ac:dyDescent="0.2">
      <c r="A406" s="250"/>
      <c r="B406" s="250" t="s">
        <v>3500</v>
      </c>
      <c r="C406" s="250" t="s">
        <v>3883</v>
      </c>
      <c r="D406" s="252" t="s">
        <v>1643</v>
      </c>
      <c r="K406" s="250">
        <v>0.55000000000000004</v>
      </c>
      <c r="L406" s="250">
        <v>160</v>
      </c>
      <c r="N406" s="250">
        <v>6</v>
      </c>
    </row>
    <row r="407" spans="1:14" ht="15" customHeight="1" x14ac:dyDescent="0.2">
      <c r="A407" s="250"/>
      <c r="B407" s="250" t="s">
        <v>3501</v>
      </c>
      <c r="C407" s="250" t="s">
        <v>4073</v>
      </c>
      <c r="D407" s="252" t="s">
        <v>1643</v>
      </c>
      <c r="K407" s="250">
        <v>0.55000000000000004</v>
      </c>
      <c r="L407" s="250">
        <v>160</v>
      </c>
      <c r="N407" s="250">
        <v>6</v>
      </c>
    </row>
    <row r="408" spans="1:14" ht="15" customHeight="1" x14ac:dyDescent="0.2">
      <c r="A408" s="250"/>
      <c r="B408" s="250" t="s">
        <v>3502</v>
      </c>
      <c r="C408" s="250" t="s">
        <v>4073</v>
      </c>
      <c r="D408" s="252" t="s">
        <v>1643</v>
      </c>
      <c r="K408" s="250">
        <v>0.55000000000000004</v>
      </c>
      <c r="L408" s="250">
        <v>160</v>
      </c>
      <c r="N408" s="250">
        <v>6</v>
      </c>
    </row>
    <row r="409" spans="1:14" ht="15" customHeight="1" x14ac:dyDescent="0.2">
      <c r="A409" s="250"/>
      <c r="B409" s="250" t="s">
        <v>3503</v>
      </c>
      <c r="C409" s="250" t="s">
        <v>3883</v>
      </c>
      <c r="D409" s="252" t="s">
        <v>1643</v>
      </c>
      <c r="K409" s="250">
        <v>0.55000000000000004</v>
      </c>
      <c r="L409" s="250">
        <v>182</v>
      </c>
      <c r="N409" s="250">
        <v>7.5</v>
      </c>
    </row>
    <row r="410" spans="1:14" ht="15" customHeight="1" x14ac:dyDescent="0.2">
      <c r="A410" s="250"/>
      <c r="B410" s="250" t="s">
        <v>3504</v>
      </c>
      <c r="C410" s="250" t="s">
        <v>4073</v>
      </c>
      <c r="D410" s="252" t="s">
        <v>1643</v>
      </c>
      <c r="K410" s="250">
        <v>0.55000000000000004</v>
      </c>
      <c r="L410" s="250">
        <v>182</v>
      </c>
      <c r="N410" s="250">
        <v>7.5</v>
      </c>
    </row>
    <row r="411" spans="1:14" ht="15" customHeight="1" x14ac:dyDescent="0.2">
      <c r="A411" s="250"/>
      <c r="B411" s="250" t="s">
        <v>3505</v>
      </c>
      <c r="C411" s="250" t="s">
        <v>4073</v>
      </c>
      <c r="D411" s="252" t="s">
        <v>1643</v>
      </c>
      <c r="K411" s="250">
        <v>0.55000000000000004</v>
      </c>
      <c r="L411" s="250">
        <v>182</v>
      </c>
      <c r="N411" s="250">
        <v>7.5</v>
      </c>
    </row>
    <row r="412" spans="1:14" ht="15" customHeight="1" x14ac:dyDescent="0.2">
      <c r="A412" s="250"/>
      <c r="B412" s="250" t="s">
        <v>3506</v>
      </c>
      <c r="C412" s="250" t="s">
        <v>3883</v>
      </c>
      <c r="D412" s="252" t="s">
        <v>1643</v>
      </c>
      <c r="K412" s="250">
        <v>0.55000000000000004</v>
      </c>
      <c r="L412" s="250">
        <v>182</v>
      </c>
      <c r="N412" s="250">
        <v>7.5</v>
      </c>
    </row>
    <row r="413" spans="1:14" ht="15" customHeight="1" x14ac:dyDescent="0.2">
      <c r="B413" s="250" t="s">
        <v>3614</v>
      </c>
      <c r="C413" s="250" t="s">
        <v>3883</v>
      </c>
      <c r="D413" s="250" t="s">
        <v>60</v>
      </c>
      <c r="K413" s="250">
        <v>0.55000000000000004</v>
      </c>
      <c r="L413" s="250">
        <v>52</v>
      </c>
    </row>
    <row r="414" spans="1:14" ht="15" customHeight="1" x14ac:dyDescent="0.2">
      <c r="B414" s="250" t="s">
        <v>3615</v>
      </c>
      <c r="C414" s="250" t="s">
        <v>4073</v>
      </c>
      <c r="D414" s="250" t="s">
        <v>60</v>
      </c>
      <c r="K414" s="250">
        <v>0.55000000000000004</v>
      </c>
      <c r="L414" s="250">
        <v>58</v>
      </c>
    </row>
    <row r="415" spans="1:14" ht="15" customHeight="1" x14ac:dyDescent="0.2">
      <c r="B415" s="250" t="s">
        <v>3616</v>
      </c>
      <c r="C415" s="250" t="s">
        <v>4073</v>
      </c>
      <c r="D415" s="250" t="s">
        <v>60</v>
      </c>
      <c r="K415" s="250">
        <v>0.55000000000000004</v>
      </c>
      <c r="L415" s="250">
        <v>100</v>
      </c>
    </row>
    <row r="416" spans="1:14" ht="15" customHeight="1" x14ac:dyDescent="0.2">
      <c r="B416" s="250" t="s">
        <v>3617</v>
      </c>
      <c r="C416" s="250" t="s">
        <v>4073</v>
      </c>
      <c r="D416" s="250" t="s">
        <v>60</v>
      </c>
      <c r="K416" s="250">
        <v>0.55000000000000004</v>
      </c>
      <c r="L416" s="250">
        <v>100</v>
      </c>
    </row>
    <row r="417" spans="2:12" ht="15" customHeight="1" x14ac:dyDescent="0.2">
      <c r="B417" s="250" t="s">
        <v>3618</v>
      </c>
      <c r="C417" s="250" t="s">
        <v>4073</v>
      </c>
      <c r="D417" s="250" t="s">
        <v>60</v>
      </c>
      <c r="K417" s="250">
        <v>0.55000000000000004</v>
      </c>
      <c r="L417" s="250">
        <v>162</v>
      </c>
    </row>
    <row r="418" spans="2:12" ht="15" customHeight="1" x14ac:dyDescent="0.2">
      <c r="B418" s="250" t="s">
        <v>3619</v>
      </c>
      <c r="C418" s="250" t="s">
        <v>3883</v>
      </c>
      <c r="D418" s="250" t="s">
        <v>60</v>
      </c>
      <c r="K418" s="250">
        <v>0.55000000000000004</v>
      </c>
      <c r="L418" s="250">
        <v>162</v>
      </c>
    </row>
    <row r="419" spans="2:12" ht="15" customHeight="1" x14ac:dyDescent="0.2">
      <c r="B419" s="250" t="s">
        <v>3620</v>
      </c>
      <c r="C419" s="250" t="s">
        <v>4073</v>
      </c>
      <c r="D419" s="250" t="s">
        <v>60</v>
      </c>
      <c r="K419" s="250">
        <v>0.55000000000000004</v>
      </c>
      <c r="L419" s="250">
        <v>334</v>
      </c>
    </row>
    <row r="420" spans="2:12" ht="15" customHeight="1" x14ac:dyDescent="0.2">
      <c r="B420" s="250" t="s">
        <v>3621</v>
      </c>
      <c r="C420" s="250" t="s">
        <v>3883</v>
      </c>
      <c r="D420" s="250" t="s">
        <v>60</v>
      </c>
      <c r="K420" s="250">
        <v>0.55000000000000004</v>
      </c>
      <c r="L420" s="250">
        <v>334</v>
      </c>
    </row>
    <row r="421" spans="2:12" ht="15" customHeight="1" x14ac:dyDescent="0.2">
      <c r="B421" s="250" t="s">
        <v>3622</v>
      </c>
      <c r="C421" s="250" t="s">
        <v>3883</v>
      </c>
      <c r="D421" s="250" t="s">
        <v>60</v>
      </c>
      <c r="K421" s="250">
        <v>0.55000000000000004</v>
      </c>
      <c r="L421" s="250">
        <v>432</v>
      </c>
    </row>
    <row r="422" spans="2:12" ht="15" customHeight="1" x14ac:dyDescent="0.2">
      <c r="B422" s="250" t="s">
        <v>3623</v>
      </c>
      <c r="C422" s="250" t="s">
        <v>4073</v>
      </c>
      <c r="D422" s="250" t="s">
        <v>60</v>
      </c>
      <c r="K422" s="250">
        <v>0.55000000000000004</v>
      </c>
      <c r="L422" s="250">
        <v>432</v>
      </c>
    </row>
    <row r="423" spans="2:12" ht="15" customHeight="1" x14ac:dyDescent="0.2">
      <c r="B423" s="250" t="s">
        <v>3624</v>
      </c>
      <c r="C423" s="250" t="s">
        <v>3883</v>
      </c>
      <c r="D423" s="250" t="s">
        <v>60</v>
      </c>
      <c r="K423" s="250">
        <v>0.55000000000000004</v>
      </c>
      <c r="L423" s="250">
        <v>1120</v>
      </c>
    </row>
    <row r="424" spans="2:12" ht="15" customHeight="1" x14ac:dyDescent="0.2">
      <c r="B424" s="250" t="s">
        <v>3625</v>
      </c>
      <c r="C424" s="250" t="s">
        <v>4073</v>
      </c>
      <c r="D424" s="250" t="s">
        <v>60</v>
      </c>
      <c r="K424" s="250">
        <v>0.55000000000000004</v>
      </c>
      <c r="L424" s="250">
        <v>1120</v>
      </c>
    </row>
    <row r="425" spans="2:12" ht="15" customHeight="1" x14ac:dyDescent="0.2">
      <c r="B425" s="250" t="s">
        <v>3626</v>
      </c>
      <c r="C425" s="250" t="s">
        <v>3883</v>
      </c>
      <c r="D425" s="250" t="s">
        <v>60</v>
      </c>
      <c r="K425" s="250">
        <v>0.55000000000000004</v>
      </c>
      <c r="L425" s="250">
        <v>1400</v>
      </c>
    </row>
    <row r="426" spans="2:12" ht="15" customHeight="1" x14ac:dyDescent="0.2">
      <c r="B426" s="250" t="s">
        <v>3627</v>
      </c>
      <c r="C426" s="250" t="s">
        <v>4073</v>
      </c>
      <c r="D426" s="250" t="s">
        <v>60</v>
      </c>
      <c r="K426" s="250">
        <v>0.55000000000000004</v>
      </c>
      <c r="L426" s="250">
        <v>1500</v>
      </c>
    </row>
    <row r="427" spans="2:12" ht="15" customHeight="1" x14ac:dyDescent="0.2">
      <c r="B427" s="250" t="s">
        <v>3628</v>
      </c>
      <c r="C427" s="250" t="s">
        <v>3883</v>
      </c>
      <c r="D427" s="250" t="s">
        <v>60</v>
      </c>
      <c r="K427" s="250">
        <v>0.55000000000000004</v>
      </c>
      <c r="L427" s="250">
        <v>2876</v>
      </c>
    </row>
    <row r="428" spans="2:12" ht="15" customHeight="1" x14ac:dyDescent="0.2">
      <c r="B428" s="250" t="s">
        <v>3629</v>
      </c>
      <c r="C428" s="250" t="s">
        <v>4073</v>
      </c>
      <c r="D428" s="250" t="s">
        <v>60</v>
      </c>
      <c r="K428" s="250">
        <v>0.55000000000000004</v>
      </c>
      <c r="L428" s="250">
        <v>3500</v>
      </c>
    </row>
    <row r="429" spans="2:12" ht="15" customHeight="1" x14ac:dyDescent="0.2">
      <c r="B429" s="250" t="s">
        <v>3630</v>
      </c>
      <c r="C429" s="250" t="s">
        <v>4073</v>
      </c>
      <c r="D429" s="250" t="s">
        <v>60</v>
      </c>
      <c r="K429" s="250">
        <v>0.55000000000000004</v>
      </c>
      <c r="L429" s="250">
        <v>3836</v>
      </c>
    </row>
    <row r="430" spans="2:12" ht="15" customHeight="1" x14ac:dyDescent="0.2">
      <c r="B430" s="250" t="s">
        <v>3631</v>
      </c>
      <c r="C430" s="250" t="s">
        <v>4073</v>
      </c>
      <c r="D430" s="250" t="s">
        <v>60</v>
      </c>
      <c r="K430" s="250">
        <v>0.55000000000000004</v>
      </c>
      <c r="L430" s="250">
        <v>58</v>
      </c>
    </row>
    <row r="431" spans="2:12" ht="15" customHeight="1" x14ac:dyDescent="0.2">
      <c r="B431" s="250" t="s">
        <v>3632</v>
      </c>
      <c r="C431" s="250" t="s">
        <v>3883</v>
      </c>
      <c r="D431" s="250" t="s">
        <v>60</v>
      </c>
      <c r="K431" s="250">
        <v>0.55000000000000004</v>
      </c>
      <c r="L431" s="250">
        <v>62</v>
      </c>
    </row>
    <row r="432" spans="2:12" ht="15" customHeight="1" x14ac:dyDescent="0.2">
      <c r="B432" s="250" t="s">
        <v>3633</v>
      </c>
      <c r="C432" s="250" t="s">
        <v>3883</v>
      </c>
      <c r="D432" s="250" t="s">
        <v>60</v>
      </c>
      <c r="K432" s="250">
        <v>0.55000000000000004</v>
      </c>
      <c r="L432" s="250">
        <v>128</v>
      </c>
    </row>
    <row r="433" spans="2:12" ht="15" customHeight="1" x14ac:dyDescent="0.2">
      <c r="B433" s="250" t="s">
        <v>3634</v>
      </c>
      <c r="C433" s="250" t="s">
        <v>4073</v>
      </c>
      <c r="D433" s="250" t="s">
        <v>60</v>
      </c>
      <c r="K433" s="250">
        <v>0.55000000000000004</v>
      </c>
      <c r="L433" s="250">
        <v>128</v>
      </c>
    </row>
    <row r="434" spans="2:12" ht="15" customHeight="1" x14ac:dyDescent="0.2">
      <c r="B434" s="250" t="s">
        <v>3635</v>
      </c>
      <c r="C434" s="250" t="s">
        <v>4073</v>
      </c>
      <c r="D434" s="250" t="s">
        <v>60</v>
      </c>
      <c r="K434" s="250">
        <v>0.55000000000000004</v>
      </c>
      <c r="L434" s="250">
        <v>190</v>
      </c>
    </row>
    <row r="435" spans="2:12" ht="15" customHeight="1" x14ac:dyDescent="0.2">
      <c r="B435" s="250" t="s">
        <v>3636</v>
      </c>
      <c r="C435" s="250" t="s">
        <v>3883</v>
      </c>
      <c r="D435" s="250" t="s">
        <v>60</v>
      </c>
      <c r="K435" s="250">
        <v>0.55000000000000004</v>
      </c>
      <c r="L435" s="250">
        <v>190</v>
      </c>
    </row>
    <row r="436" spans="2:12" ht="15" customHeight="1" x14ac:dyDescent="0.2">
      <c r="B436" s="250" t="s">
        <v>3637</v>
      </c>
      <c r="C436" s="250" t="s">
        <v>4073</v>
      </c>
      <c r="D436" s="250" t="s">
        <v>60</v>
      </c>
      <c r="K436" s="250">
        <v>0.55000000000000004</v>
      </c>
      <c r="L436" s="250">
        <v>396</v>
      </c>
    </row>
    <row r="437" spans="2:12" ht="15" customHeight="1" x14ac:dyDescent="0.2">
      <c r="B437" s="250" t="s">
        <v>3638</v>
      </c>
      <c r="C437" s="250" t="s">
        <v>3883</v>
      </c>
      <c r="D437" s="250" t="s">
        <v>60</v>
      </c>
      <c r="K437" s="250">
        <v>0.55000000000000004</v>
      </c>
      <c r="L437" s="250">
        <v>396</v>
      </c>
    </row>
    <row r="438" spans="2:12" ht="15" customHeight="1" x14ac:dyDescent="0.2">
      <c r="B438" s="250" t="s">
        <v>3639</v>
      </c>
      <c r="C438" s="250" t="s">
        <v>4073</v>
      </c>
      <c r="D438" s="250" t="s">
        <v>60</v>
      </c>
      <c r="K438" s="250">
        <v>0.55000000000000004</v>
      </c>
      <c r="L438" s="250">
        <v>512</v>
      </c>
    </row>
    <row r="439" spans="2:12" ht="15" customHeight="1" x14ac:dyDescent="0.2">
      <c r="B439" s="250" t="s">
        <v>3640</v>
      </c>
      <c r="C439" s="250" t="s">
        <v>3883</v>
      </c>
      <c r="D439" s="250" t="s">
        <v>60</v>
      </c>
      <c r="K439" s="250">
        <v>0.55000000000000004</v>
      </c>
      <c r="L439" s="250">
        <v>512</v>
      </c>
    </row>
    <row r="440" spans="2:12" ht="15" customHeight="1" x14ac:dyDescent="0.2">
      <c r="B440" s="250" t="s">
        <v>3641</v>
      </c>
      <c r="C440" s="250" t="s">
        <v>3883</v>
      </c>
      <c r="D440" s="250" t="s">
        <v>60</v>
      </c>
      <c r="K440" s="250">
        <v>0.55000000000000004</v>
      </c>
      <c r="L440" s="250">
        <v>1598</v>
      </c>
    </row>
    <row r="441" spans="2:12" ht="15" customHeight="1" x14ac:dyDescent="0.2">
      <c r="B441" s="250" t="s">
        <v>3642</v>
      </c>
      <c r="C441" s="250" t="s">
        <v>4073</v>
      </c>
      <c r="D441" s="250" t="s">
        <v>60</v>
      </c>
      <c r="K441" s="250">
        <v>0.55000000000000004</v>
      </c>
      <c r="L441" s="250">
        <v>1598</v>
      </c>
    </row>
    <row r="442" spans="2:12" ht="15" customHeight="1" x14ac:dyDescent="0.2">
      <c r="B442" s="250" t="s">
        <v>3643</v>
      </c>
      <c r="C442" s="250" t="s">
        <v>4073</v>
      </c>
      <c r="D442" s="250" t="s">
        <v>60</v>
      </c>
      <c r="K442" s="250">
        <v>0.55000000000000004</v>
      </c>
      <c r="L442" s="250">
        <v>1918</v>
      </c>
    </row>
    <row r="443" spans="2:12" ht="15" customHeight="1" x14ac:dyDescent="0.2">
      <c r="B443" s="250" t="s">
        <v>3644</v>
      </c>
      <c r="C443" s="250" t="s">
        <v>4073</v>
      </c>
      <c r="D443" s="250" t="s">
        <v>60</v>
      </c>
      <c r="K443" s="250">
        <v>0.55000000000000004</v>
      </c>
      <c r="L443" s="250">
        <v>2038</v>
      </c>
    </row>
    <row r="444" spans="2:12" ht="15" customHeight="1" x14ac:dyDescent="0.2">
      <c r="B444" s="250" t="s">
        <v>3645</v>
      </c>
      <c r="C444" s="250" t="s">
        <v>4073</v>
      </c>
      <c r="D444" s="250" t="s">
        <v>60</v>
      </c>
      <c r="K444" s="250">
        <v>0.55000000000000004</v>
      </c>
      <c r="L444" s="250">
        <v>3976</v>
      </c>
    </row>
    <row r="445" spans="2:12" ht="15" customHeight="1" x14ac:dyDescent="0.2">
      <c r="B445" s="250" t="s">
        <v>3646</v>
      </c>
      <c r="C445" s="250" t="s">
        <v>4073</v>
      </c>
      <c r="D445" s="250" t="s">
        <v>60</v>
      </c>
      <c r="K445" s="250">
        <v>0.55000000000000004</v>
      </c>
      <c r="L445" s="250">
        <v>4774</v>
      </c>
    </row>
    <row r="446" spans="2:12" ht="15" customHeight="1" x14ac:dyDescent="0.2">
      <c r="B446" s="250" t="s">
        <v>3647</v>
      </c>
      <c r="C446" s="250" t="s">
        <v>3883</v>
      </c>
      <c r="D446" s="250" t="s">
        <v>60</v>
      </c>
      <c r="K446" s="250">
        <v>0.55000000000000004</v>
      </c>
      <c r="L446" s="250">
        <v>5876</v>
      </c>
    </row>
    <row r="447" spans="2:12" ht="15" customHeight="1" x14ac:dyDescent="0.2">
      <c r="B447" s="250" t="s">
        <v>3648</v>
      </c>
      <c r="C447" s="250" t="s">
        <v>4073</v>
      </c>
      <c r="D447" s="250" t="s">
        <v>60</v>
      </c>
      <c r="K447" s="250">
        <v>0.55000000000000004</v>
      </c>
      <c r="L447" s="250">
        <v>138</v>
      </c>
    </row>
    <row r="448" spans="2:12" ht="15" customHeight="1" x14ac:dyDescent="0.2">
      <c r="B448" s="250" t="s">
        <v>3649</v>
      </c>
      <c r="C448" s="250" t="s">
        <v>3883</v>
      </c>
      <c r="D448" s="250" t="s">
        <v>60</v>
      </c>
      <c r="K448" s="250">
        <v>0.55000000000000004</v>
      </c>
      <c r="L448" s="250">
        <v>138</v>
      </c>
    </row>
    <row r="449" spans="2:12" ht="15" customHeight="1" x14ac:dyDescent="0.2">
      <c r="B449" s="250" t="s">
        <v>3650</v>
      </c>
      <c r="C449" s="250" t="s">
        <v>3883</v>
      </c>
      <c r="D449" s="250" t="s">
        <v>60</v>
      </c>
      <c r="K449" s="250">
        <v>0.55000000000000004</v>
      </c>
      <c r="L449" s="250">
        <v>198</v>
      </c>
    </row>
    <row r="450" spans="2:12" ht="15" customHeight="1" x14ac:dyDescent="0.2">
      <c r="B450" s="250" t="s">
        <v>3651</v>
      </c>
      <c r="C450" s="250" t="s">
        <v>3883</v>
      </c>
      <c r="D450" s="250" t="s">
        <v>60</v>
      </c>
      <c r="K450" s="250">
        <v>0.55000000000000004</v>
      </c>
      <c r="L450" s="250">
        <v>198</v>
      </c>
    </row>
    <row r="451" spans="2:12" ht="15" customHeight="1" x14ac:dyDescent="0.2">
      <c r="B451" s="250" t="s">
        <v>3652</v>
      </c>
      <c r="C451" s="250" t="s">
        <v>3883</v>
      </c>
      <c r="D451" s="250" t="s">
        <v>60</v>
      </c>
      <c r="K451" s="250">
        <v>0.55000000000000004</v>
      </c>
      <c r="L451" s="250">
        <v>372</v>
      </c>
    </row>
    <row r="452" spans="2:12" ht="15" customHeight="1" x14ac:dyDescent="0.2">
      <c r="B452" s="250" t="s">
        <v>3653</v>
      </c>
      <c r="C452" s="250" t="s">
        <v>3883</v>
      </c>
      <c r="D452" s="250" t="s">
        <v>60</v>
      </c>
      <c r="K452" s="250">
        <v>0.55000000000000004</v>
      </c>
      <c r="L452" s="250">
        <v>372</v>
      </c>
    </row>
    <row r="453" spans="2:12" ht="15" customHeight="1" x14ac:dyDescent="0.2">
      <c r="B453" s="250" t="s">
        <v>3654</v>
      </c>
      <c r="C453" s="250" t="s">
        <v>4073</v>
      </c>
      <c r="D453" s="250" t="s">
        <v>60</v>
      </c>
      <c r="K453" s="250">
        <v>0.55000000000000004</v>
      </c>
      <c r="L453" s="250">
        <v>466</v>
      </c>
    </row>
    <row r="454" spans="2:12" ht="15" customHeight="1" x14ac:dyDescent="0.2">
      <c r="B454" s="250" t="s">
        <v>3655</v>
      </c>
      <c r="C454" s="250" t="s">
        <v>3883</v>
      </c>
      <c r="D454" s="250" t="s">
        <v>60</v>
      </c>
      <c r="K454" s="250">
        <v>0.55000000000000004</v>
      </c>
      <c r="L454" s="250">
        <v>466</v>
      </c>
    </row>
    <row r="455" spans="2:12" ht="15" customHeight="1" x14ac:dyDescent="0.2">
      <c r="B455" s="250" t="s">
        <v>3656</v>
      </c>
      <c r="C455" s="250" t="s">
        <v>4073</v>
      </c>
      <c r="D455" s="250" t="s">
        <v>60</v>
      </c>
      <c r="K455" s="250">
        <v>0.55000000000000004</v>
      </c>
      <c r="L455" s="250">
        <v>1188</v>
      </c>
    </row>
    <row r="456" spans="2:12" ht="15" customHeight="1" x14ac:dyDescent="0.2">
      <c r="B456" s="250" t="s">
        <v>3657</v>
      </c>
      <c r="C456" s="250" t="s">
        <v>4073</v>
      </c>
      <c r="D456" s="250" t="s">
        <v>60</v>
      </c>
      <c r="K456" s="250">
        <v>0.55000000000000004</v>
      </c>
      <c r="L456" s="250">
        <v>1188</v>
      </c>
    </row>
    <row r="457" spans="2:12" ht="15" customHeight="1" x14ac:dyDescent="0.2">
      <c r="B457" s="250" t="s">
        <v>3658</v>
      </c>
      <c r="C457" s="250" t="s">
        <v>3883</v>
      </c>
      <c r="D457" s="250" t="s">
        <v>60</v>
      </c>
      <c r="K457" s="250">
        <v>0.55000000000000004</v>
      </c>
      <c r="L457" s="250">
        <v>1474</v>
      </c>
    </row>
    <row r="458" spans="2:12" ht="15" customHeight="1" x14ac:dyDescent="0.2">
      <c r="B458" s="250" t="s">
        <v>3659</v>
      </c>
      <c r="C458" s="250" t="s">
        <v>4073</v>
      </c>
      <c r="D458" s="250" t="s">
        <v>60</v>
      </c>
      <c r="K458" s="250">
        <v>0.55000000000000004</v>
      </c>
      <c r="L458" s="250">
        <v>1566</v>
      </c>
    </row>
    <row r="459" spans="2:12" ht="15" customHeight="1" x14ac:dyDescent="0.2">
      <c r="B459" s="250" t="s">
        <v>3660</v>
      </c>
      <c r="C459" s="250" t="s">
        <v>4073</v>
      </c>
      <c r="D459" s="250" t="s">
        <v>60</v>
      </c>
      <c r="K459" s="250">
        <v>0.55000000000000004</v>
      </c>
      <c r="L459" s="250">
        <v>3534</v>
      </c>
    </row>
    <row r="460" spans="2:12" ht="15" customHeight="1" x14ac:dyDescent="0.2">
      <c r="B460" s="250" t="s">
        <v>3661</v>
      </c>
      <c r="C460" s="250" t="s">
        <v>3883</v>
      </c>
      <c r="D460" s="250" t="s">
        <v>60</v>
      </c>
      <c r="K460" s="250">
        <v>0.55000000000000004</v>
      </c>
      <c r="L460" s="250">
        <v>3556</v>
      </c>
    </row>
    <row r="461" spans="2:12" ht="15" customHeight="1" x14ac:dyDescent="0.2">
      <c r="B461" s="250" t="s">
        <v>3662</v>
      </c>
      <c r="C461" s="250" t="s">
        <v>4073</v>
      </c>
      <c r="D461" s="250" t="s">
        <v>60</v>
      </c>
      <c r="K461" s="250">
        <v>0.55000000000000004</v>
      </c>
      <c r="L461" s="250">
        <v>3884</v>
      </c>
    </row>
    <row r="462" spans="2:12" ht="15" customHeight="1" x14ac:dyDescent="0.2">
      <c r="B462" s="250" t="s">
        <v>4086</v>
      </c>
      <c r="C462" s="250" t="s">
        <v>4073</v>
      </c>
      <c r="D462" s="250" t="s">
        <v>3884</v>
      </c>
      <c r="K462" s="250">
        <v>0.55000000000000004</v>
      </c>
      <c r="L462" s="250">
        <v>209</v>
      </c>
    </row>
    <row r="463" spans="2:12" ht="15" customHeight="1" x14ac:dyDescent="0.2">
      <c r="B463" s="250" t="s">
        <v>4087</v>
      </c>
      <c r="C463" s="250" t="s">
        <v>4073</v>
      </c>
      <c r="D463" s="250" t="s">
        <v>3884</v>
      </c>
      <c r="K463" s="250">
        <v>0.55000000000000004</v>
      </c>
      <c r="L463" s="250">
        <v>220</v>
      </c>
    </row>
    <row r="464" spans="2:12" ht="15" customHeight="1" x14ac:dyDescent="0.2">
      <c r="B464" s="250" t="s">
        <v>3818</v>
      </c>
      <c r="C464" s="250" t="s">
        <v>4073</v>
      </c>
      <c r="D464" s="250" t="s">
        <v>3884</v>
      </c>
      <c r="K464" s="250">
        <v>0.55000000000000004</v>
      </c>
      <c r="L464" s="250">
        <v>860</v>
      </c>
    </row>
    <row r="465" spans="2:12" ht="15" customHeight="1" x14ac:dyDescent="0.2">
      <c r="B465" s="250" t="s">
        <v>3819</v>
      </c>
      <c r="C465" s="250" t="s">
        <v>4073</v>
      </c>
      <c r="D465" s="250" t="s">
        <v>3884</v>
      </c>
      <c r="K465" s="250">
        <v>0.55000000000000004</v>
      </c>
      <c r="L465" s="250">
        <v>860</v>
      </c>
    </row>
    <row r="466" spans="2:12" ht="15" customHeight="1" x14ac:dyDescent="0.2">
      <c r="B466" s="250" t="s">
        <v>3820</v>
      </c>
      <c r="C466" s="250" t="s">
        <v>4073</v>
      </c>
      <c r="D466" s="250" t="s">
        <v>4088</v>
      </c>
      <c r="K466" s="250">
        <v>0.55000000000000004</v>
      </c>
      <c r="L466" s="250">
        <v>860</v>
      </c>
    </row>
    <row r="467" spans="2:12" ht="15" customHeight="1" x14ac:dyDescent="0.2">
      <c r="B467" s="250" t="s">
        <v>3821</v>
      </c>
      <c r="C467" s="250" t="s">
        <v>3883</v>
      </c>
      <c r="D467" s="250" t="s">
        <v>4088</v>
      </c>
      <c r="K467" s="250">
        <v>0.55000000000000004</v>
      </c>
      <c r="L467" s="250">
        <v>860</v>
      </c>
    </row>
    <row r="468" spans="2:12" ht="15" customHeight="1" x14ac:dyDescent="0.2">
      <c r="B468" s="250" t="s">
        <v>3822</v>
      </c>
      <c r="C468" s="250" t="s">
        <v>3883</v>
      </c>
      <c r="D468" s="250" t="s">
        <v>4088</v>
      </c>
      <c r="K468" s="250">
        <v>0.55000000000000004</v>
      </c>
      <c r="L468" s="250">
        <v>860</v>
      </c>
    </row>
    <row r="469" spans="2:12" ht="15" customHeight="1" x14ac:dyDescent="0.2">
      <c r="B469" s="250" t="s">
        <v>3823</v>
      </c>
      <c r="C469" s="250" t="s">
        <v>3883</v>
      </c>
      <c r="D469" s="250" t="s">
        <v>3884</v>
      </c>
      <c r="K469" s="250">
        <v>0.55000000000000004</v>
      </c>
      <c r="L469" s="250">
        <v>860</v>
      </c>
    </row>
    <row r="470" spans="2:12" ht="15" customHeight="1" x14ac:dyDescent="0.2">
      <c r="B470" s="250" t="s">
        <v>3824</v>
      </c>
      <c r="C470" s="250" t="s">
        <v>4073</v>
      </c>
      <c r="D470" s="250" t="s">
        <v>4088</v>
      </c>
      <c r="K470" s="250">
        <v>0.55000000000000004</v>
      </c>
      <c r="L470" s="250">
        <v>860</v>
      </c>
    </row>
    <row r="471" spans="2:12" ht="15" customHeight="1" x14ac:dyDescent="0.2">
      <c r="B471" s="250" t="s">
        <v>3825</v>
      </c>
      <c r="C471" s="250" t="s">
        <v>4073</v>
      </c>
      <c r="D471" s="250" t="s">
        <v>4088</v>
      </c>
      <c r="K471" s="250">
        <v>0.55000000000000004</v>
      </c>
      <c r="L471" s="250">
        <v>860</v>
      </c>
    </row>
    <row r="472" spans="2:12" ht="15" customHeight="1" x14ac:dyDescent="0.2">
      <c r="B472" s="250" t="s">
        <v>3826</v>
      </c>
      <c r="C472" s="250" t="s">
        <v>4073</v>
      </c>
      <c r="D472" s="250" t="s">
        <v>3884</v>
      </c>
      <c r="K472" s="250">
        <v>0.55000000000000004</v>
      </c>
      <c r="L472" s="250">
        <v>860</v>
      </c>
    </row>
    <row r="473" spans="2:12" ht="15" customHeight="1" x14ac:dyDescent="0.2">
      <c r="B473" s="250" t="s">
        <v>3885</v>
      </c>
      <c r="C473" s="250" t="s">
        <v>3883</v>
      </c>
      <c r="D473" s="250" t="s">
        <v>3884</v>
      </c>
      <c r="K473" s="250">
        <v>0.55000000000000004</v>
      </c>
      <c r="L473" s="250">
        <v>940</v>
      </c>
    </row>
    <row r="474" spans="2:12" ht="15" customHeight="1" x14ac:dyDescent="0.2">
      <c r="B474" s="250" t="s">
        <v>3834</v>
      </c>
      <c r="C474" s="250" t="s">
        <v>4073</v>
      </c>
      <c r="D474" s="250" t="s">
        <v>3884</v>
      </c>
      <c r="K474" s="250">
        <v>0.55000000000000004</v>
      </c>
      <c r="L474" s="250">
        <v>940</v>
      </c>
    </row>
    <row r="475" spans="2:12" ht="15" customHeight="1" x14ac:dyDescent="0.2">
      <c r="B475" s="250" t="s">
        <v>3835</v>
      </c>
      <c r="C475" s="250" t="s">
        <v>4073</v>
      </c>
      <c r="D475" s="250" t="s">
        <v>3884</v>
      </c>
      <c r="K475" s="250">
        <v>0.55000000000000004</v>
      </c>
      <c r="L475" s="250">
        <v>940</v>
      </c>
    </row>
    <row r="476" spans="2:12" ht="15" customHeight="1" x14ac:dyDescent="0.2">
      <c r="B476" s="250" t="s">
        <v>3836</v>
      </c>
      <c r="C476" s="250" t="s">
        <v>4073</v>
      </c>
      <c r="D476" s="250" t="s">
        <v>3884</v>
      </c>
      <c r="K476" s="250">
        <v>0.55000000000000004</v>
      </c>
      <c r="L476" s="250">
        <v>940</v>
      </c>
    </row>
    <row r="477" spans="2:12" ht="15" customHeight="1" x14ac:dyDescent="0.2">
      <c r="B477" s="250" t="s">
        <v>3837</v>
      </c>
      <c r="C477" s="250" t="s">
        <v>4073</v>
      </c>
      <c r="D477" s="250" t="s">
        <v>3884</v>
      </c>
      <c r="K477" s="250">
        <v>0.55000000000000004</v>
      </c>
      <c r="L477" s="250">
        <v>940</v>
      </c>
    </row>
    <row r="478" spans="2:12" ht="15" customHeight="1" x14ac:dyDescent="0.2">
      <c r="B478" s="250" t="s">
        <v>3838</v>
      </c>
      <c r="C478" s="250" t="s">
        <v>4073</v>
      </c>
      <c r="D478" s="250" t="s">
        <v>3884</v>
      </c>
      <c r="K478" s="250">
        <v>0.55000000000000004</v>
      </c>
      <c r="L478" s="250">
        <v>940</v>
      </c>
    </row>
    <row r="479" spans="2:12" ht="15" customHeight="1" x14ac:dyDescent="0.2">
      <c r="B479" s="250" t="s">
        <v>3827</v>
      </c>
      <c r="C479" s="250" t="s">
        <v>4073</v>
      </c>
      <c r="D479" s="250" t="s">
        <v>3884</v>
      </c>
      <c r="K479" s="250">
        <v>0.55000000000000004</v>
      </c>
      <c r="L479" s="250">
        <v>2400</v>
      </c>
    </row>
    <row r="480" spans="2:12" ht="15" customHeight="1" x14ac:dyDescent="0.2">
      <c r="B480" s="250" t="s">
        <v>3828</v>
      </c>
      <c r="C480" s="250" t="s">
        <v>4073</v>
      </c>
      <c r="D480" s="250" t="s">
        <v>4088</v>
      </c>
      <c r="K480" s="250">
        <v>0.55000000000000004</v>
      </c>
      <c r="L480" s="250">
        <v>2400</v>
      </c>
    </row>
    <row r="481" spans="2:12" ht="15" customHeight="1" x14ac:dyDescent="0.2">
      <c r="B481" s="250" t="s">
        <v>3829</v>
      </c>
      <c r="C481" s="250" t="s">
        <v>4073</v>
      </c>
      <c r="D481" s="250" t="s">
        <v>3884</v>
      </c>
      <c r="K481" s="250">
        <v>0.55000000000000004</v>
      </c>
      <c r="L481" s="250">
        <v>2400</v>
      </c>
    </row>
    <row r="482" spans="2:12" ht="15" customHeight="1" x14ac:dyDescent="0.2">
      <c r="B482" s="250" t="s">
        <v>3830</v>
      </c>
      <c r="C482" s="250" t="s">
        <v>3883</v>
      </c>
      <c r="D482" s="250" t="s">
        <v>4088</v>
      </c>
      <c r="K482" s="250">
        <v>0.55000000000000004</v>
      </c>
      <c r="L482" s="250">
        <v>2800</v>
      </c>
    </row>
    <row r="483" spans="2:12" ht="15" customHeight="1" x14ac:dyDescent="0.2">
      <c r="B483" s="250" t="s">
        <v>3831</v>
      </c>
      <c r="C483" s="250" t="s">
        <v>3883</v>
      </c>
      <c r="D483" s="250" t="s">
        <v>4088</v>
      </c>
      <c r="K483" s="250">
        <v>0.55000000000000004</v>
      </c>
      <c r="L483" s="250">
        <v>2800</v>
      </c>
    </row>
    <row r="484" spans="2:12" ht="15" customHeight="1" x14ac:dyDescent="0.2">
      <c r="B484" s="250" t="s">
        <v>3832</v>
      </c>
      <c r="C484" s="250" t="s">
        <v>3883</v>
      </c>
      <c r="D484" s="250" t="s">
        <v>4088</v>
      </c>
      <c r="K484" s="250">
        <v>0.55000000000000004</v>
      </c>
      <c r="L484" s="250">
        <v>9400</v>
      </c>
    </row>
    <row r="485" spans="2:12" ht="15" customHeight="1" x14ac:dyDescent="0.2">
      <c r="B485" s="250" t="s">
        <v>3833</v>
      </c>
      <c r="C485" s="250" t="s">
        <v>3883</v>
      </c>
      <c r="D485" s="250" t="s">
        <v>4088</v>
      </c>
      <c r="K485" s="250">
        <v>0.55000000000000004</v>
      </c>
      <c r="L485" s="250">
        <v>9400</v>
      </c>
    </row>
    <row r="486" spans="2:12" ht="15" customHeight="1" x14ac:dyDescent="0.2">
      <c r="B486" s="250" t="s">
        <v>3801</v>
      </c>
      <c r="C486" s="250" t="s">
        <v>4073</v>
      </c>
      <c r="D486" s="250" t="s">
        <v>3884</v>
      </c>
      <c r="K486" s="250">
        <v>0.55000000000000004</v>
      </c>
      <c r="L486" s="250">
        <v>900</v>
      </c>
    </row>
    <row r="487" spans="2:12" ht="15" customHeight="1" x14ac:dyDescent="0.2">
      <c r="B487" s="250" t="s">
        <v>3802</v>
      </c>
      <c r="C487" s="250" t="s">
        <v>4073</v>
      </c>
      <c r="D487" s="250" t="s">
        <v>3884</v>
      </c>
      <c r="K487" s="250">
        <v>0.55000000000000004</v>
      </c>
      <c r="L487" s="250">
        <v>900</v>
      </c>
    </row>
    <row r="488" spans="2:12" ht="15" customHeight="1" x14ac:dyDescent="0.2">
      <c r="B488" s="250" t="s">
        <v>3803</v>
      </c>
      <c r="C488" s="250" t="s">
        <v>4073</v>
      </c>
      <c r="D488" s="250" t="s">
        <v>3884</v>
      </c>
      <c r="K488" s="250">
        <v>0.55000000000000004</v>
      </c>
      <c r="L488" s="250">
        <v>900</v>
      </c>
    </row>
    <row r="489" spans="2:12" ht="15" customHeight="1" x14ac:dyDescent="0.2">
      <c r="B489" s="250" t="s">
        <v>3804</v>
      </c>
      <c r="C489" s="250" t="s">
        <v>4073</v>
      </c>
      <c r="D489" s="250" t="s">
        <v>4088</v>
      </c>
      <c r="K489" s="250">
        <v>0.55000000000000004</v>
      </c>
      <c r="L489" s="250">
        <v>900</v>
      </c>
    </row>
    <row r="490" spans="2:12" ht="15" customHeight="1" x14ac:dyDescent="0.2">
      <c r="B490" s="250" t="s">
        <v>3805</v>
      </c>
      <c r="C490" s="250" t="s">
        <v>4073</v>
      </c>
      <c r="D490" s="250" t="s">
        <v>3884</v>
      </c>
      <c r="K490" s="250">
        <v>0.55000000000000004</v>
      </c>
      <c r="L490" s="250">
        <v>900</v>
      </c>
    </row>
    <row r="491" spans="2:12" ht="15" customHeight="1" x14ac:dyDescent="0.2">
      <c r="B491" s="250" t="s">
        <v>3806</v>
      </c>
      <c r="C491" s="250" t="s">
        <v>4073</v>
      </c>
      <c r="D491" s="250" t="s">
        <v>4088</v>
      </c>
      <c r="K491" s="250">
        <v>0.55000000000000004</v>
      </c>
      <c r="L491" s="250">
        <v>900</v>
      </c>
    </row>
    <row r="492" spans="2:12" ht="15" customHeight="1" x14ac:dyDescent="0.2">
      <c r="B492" s="250" t="s">
        <v>3807</v>
      </c>
      <c r="C492" s="250" t="s">
        <v>3883</v>
      </c>
      <c r="D492" s="250" t="s">
        <v>4088</v>
      </c>
      <c r="K492" s="250">
        <v>0.55000000000000004</v>
      </c>
      <c r="L492" s="250">
        <v>900</v>
      </c>
    </row>
    <row r="493" spans="2:12" ht="15" customHeight="1" x14ac:dyDescent="0.2">
      <c r="B493" s="250" t="s">
        <v>3808</v>
      </c>
      <c r="C493" s="250" t="s">
        <v>3883</v>
      </c>
      <c r="D493" s="250" t="s">
        <v>3884</v>
      </c>
      <c r="K493" s="250">
        <v>0.55000000000000004</v>
      </c>
      <c r="L493" s="250">
        <v>900</v>
      </c>
    </row>
    <row r="494" spans="2:12" ht="15" customHeight="1" x14ac:dyDescent="0.2">
      <c r="B494" s="250" t="s">
        <v>3809</v>
      </c>
      <c r="C494" s="250" t="s">
        <v>4073</v>
      </c>
      <c r="D494" s="250" t="s">
        <v>4088</v>
      </c>
      <c r="K494" s="250">
        <v>0.55000000000000004</v>
      </c>
      <c r="L494" s="250">
        <v>900</v>
      </c>
    </row>
    <row r="495" spans="2:12" ht="15" customHeight="1" x14ac:dyDescent="0.2">
      <c r="B495" s="250" t="s">
        <v>4089</v>
      </c>
      <c r="C495" s="250" t="s">
        <v>4073</v>
      </c>
      <c r="D495" s="250" t="s">
        <v>3884</v>
      </c>
      <c r="K495" s="250">
        <v>0.55000000000000004</v>
      </c>
      <c r="L495" s="250">
        <v>1080</v>
      </c>
    </row>
    <row r="496" spans="2:12" ht="15" customHeight="1" x14ac:dyDescent="0.2">
      <c r="B496" s="250" t="s">
        <v>3839</v>
      </c>
      <c r="C496" s="250" t="s">
        <v>3883</v>
      </c>
      <c r="D496" s="250" t="s">
        <v>3884</v>
      </c>
      <c r="K496" s="250">
        <v>0.55000000000000004</v>
      </c>
      <c r="L496" s="250">
        <v>1080</v>
      </c>
    </row>
    <row r="497" spans="2:12" ht="15" customHeight="1" x14ac:dyDescent="0.2">
      <c r="B497" s="250" t="s">
        <v>3840</v>
      </c>
      <c r="C497" s="250" t="s">
        <v>4073</v>
      </c>
      <c r="D497" s="250" t="s">
        <v>4088</v>
      </c>
      <c r="K497" s="250">
        <v>0.55000000000000004</v>
      </c>
      <c r="L497" s="250">
        <v>1080</v>
      </c>
    </row>
    <row r="498" spans="2:12" ht="15" customHeight="1" x14ac:dyDescent="0.2">
      <c r="B498" s="250" t="s">
        <v>3841</v>
      </c>
      <c r="C498" s="250" t="s">
        <v>3883</v>
      </c>
      <c r="D498" s="250" t="s">
        <v>4088</v>
      </c>
      <c r="K498" s="250">
        <v>0.55000000000000004</v>
      </c>
      <c r="L498" s="250">
        <v>1080</v>
      </c>
    </row>
    <row r="499" spans="2:12" ht="15" customHeight="1" x14ac:dyDescent="0.2">
      <c r="B499" s="250" t="s">
        <v>3842</v>
      </c>
      <c r="C499" s="250" t="s">
        <v>3883</v>
      </c>
      <c r="D499" s="250" t="s">
        <v>3884</v>
      </c>
      <c r="K499" s="250">
        <v>0.55000000000000004</v>
      </c>
      <c r="L499" s="250">
        <v>1080</v>
      </c>
    </row>
    <row r="500" spans="2:12" ht="15" customHeight="1" x14ac:dyDescent="0.2">
      <c r="B500" s="250" t="s">
        <v>3843</v>
      </c>
      <c r="C500" s="250" t="s">
        <v>4073</v>
      </c>
      <c r="D500" s="250" t="s">
        <v>3884</v>
      </c>
      <c r="K500" s="250">
        <v>0.55000000000000004</v>
      </c>
      <c r="L500" s="250">
        <v>1080</v>
      </c>
    </row>
    <row r="501" spans="2:12" ht="15" customHeight="1" x14ac:dyDescent="0.2">
      <c r="B501" s="250" t="s">
        <v>3810</v>
      </c>
      <c r="C501" s="250" t="s">
        <v>3883</v>
      </c>
      <c r="D501" s="250" t="s">
        <v>4088</v>
      </c>
      <c r="K501" s="250">
        <v>0.55000000000000004</v>
      </c>
      <c r="L501" s="250">
        <v>2800</v>
      </c>
    </row>
    <row r="502" spans="2:12" ht="15" customHeight="1" x14ac:dyDescent="0.2">
      <c r="B502" s="250" t="s">
        <v>3811</v>
      </c>
      <c r="C502" s="250" t="s">
        <v>4073</v>
      </c>
      <c r="D502" s="250" t="s">
        <v>3884</v>
      </c>
      <c r="K502" s="250">
        <v>0.55000000000000004</v>
      </c>
      <c r="L502" s="250">
        <v>2800</v>
      </c>
    </row>
    <row r="503" spans="2:12" ht="15" customHeight="1" x14ac:dyDescent="0.2">
      <c r="B503" s="250" t="s">
        <v>3812</v>
      </c>
      <c r="C503" s="250" t="s">
        <v>4073</v>
      </c>
      <c r="D503" s="250" t="s">
        <v>4088</v>
      </c>
      <c r="K503" s="250">
        <v>0.55000000000000004</v>
      </c>
      <c r="L503" s="250">
        <v>2800</v>
      </c>
    </row>
    <row r="504" spans="2:12" ht="15" customHeight="1" x14ac:dyDescent="0.2">
      <c r="B504" s="250" t="s">
        <v>3813</v>
      </c>
      <c r="C504" s="250" t="s">
        <v>3883</v>
      </c>
      <c r="D504" s="250" t="s">
        <v>4088</v>
      </c>
      <c r="K504" s="250">
        <v>0.55000000000000004</v>
      </c>
      <c r="L504" s="250">
        <v>3600</v>
      </c>
    </row>
    <row r="505" spans="2:12" ht="15" customHeight="1" x14ac:dyDescent="0.2">
      <c r="B505" s="250" t="s">
        <v>3814</v>
      </c>
      <c r="C505" s="250" t="s">
        <v>4073</v>
      </c>
      <c r="D505" s="250" t="s">
        <v>3884</v>
      </c>
      <c r="K505" s="250">
        <v>0.55000000000000004</v>
      </c>
      <c r="L505" s="250">
        <v>3600</v>
      </c>
    </row>
    <row r="506" spans="2:12" ht="15" customHeight="1" x14ac:dyDescent="0.2">
      <c r="B506" s="250" t="s">
        <v>3815</v>
      </c>
      <c r="C506" s="250" t="s">
        <v>3883</v>
      </c>
      <c r="D506" s="250" t="s">
        <v>4088</v>
      </c>
      <c r="K506" s="250">
        <v>0.55000000000000004</v>
      </c>
      <c r="L506" s="250">
        <v>11200</v>
      </c>
    </row>
    <row r="507" spans="2:12" ht="15" customHeight="1" x14ac:dyDescent="0.2">
      <c r="B507" s="250" t="s">
        <v>3816</v>
      </c>
      <c r="C507" s="250" t="s">
        <v>4073</v>
      </c>
      <c r="D507" s="250" t="s">
        <v>3884</v>
      </c>
      <c r="K507" s="250">
        <v>0.55000000000000004</v>
      </c>
      <c r="L507" s="250">
        <v>11200</v>
      </c>
    </row>
    <row r="508" spans="2:12" ht="15" customHeight="1" x14ac:dyDescent="0.2">
      <c r="B508" s="250" t="s">
        <v>4090</v>
      </c>
      <c r="C508" s="250" t="s">
        <v>3883</v>
      </c>
      <c r="D508" s="250" t="s">
        <v>4088</v>
      </c>
      <c r="K508" s="250">
        <v>0.55000000000000004</v>
      </c>
      <c r="L508" s="250">
        <v>13596</v>
      </c>
    </row>
    <row r="509" spans="2:12" ht="15" customHeight="1" x14ac:dyDescent="0.2">
      <c r="B509" s="250" t="s">
        <v>4091</v>
      </c>
      <c r="C509" s="250" t="s">
        <v>4073</v>
      </c>
      <c r="D509" s="250" t="s">
        <v>4088</v>
      </c>
      <c r="K509" s="250">
        <v>0.55000000000000004</v>
      </c>
      <c r="L509" s="250">
        <v>13596</v>
      </c>
    </row>
    <row r="510" spans="2:12" ht="15" customHeight="1" x14ac:dyDescent="0.2">
      <c r="B510" s="250" t="s">
        <v>3817</v>
      </c>
      <c r="C510" s="250" t="s">
        <v>3883</v>
      </c>
      <c r="D510" s="250" t="s">
        <v>4088</v>
      </c>
      <c r="K510" s="250">
        <v>0.55000000000000004</v>
      </c>
      <c r="L510" s="250">
        <v>13596</v>
      </c>
    </row>
    <row r="511" spans="2:12" ht="15" customHeight="1" x14ac:dyDescent="0.2">
      <c r="B511" s="250" t="s">
        <v>3773</v>
      </c>
      <c r="C511" s="250" t="s">
        <v>4073</v>
      </c>
      <c r="D511" s="250" t="s">
        <v>4092</v>
      </c>
      <c r="K511" s="250">
        <v>0.55000000000000004</v>
      </c>
      <c r="L511" s="250">
        <v>319</v>
      </c>
    </row>
    <row r="512" spans="2:12" ht="15" customHeight="1" x14ac:dyDescent="0.2">
      <c r="B512" s="250" t="s">
        <v>3774</v>
      </c>
      <c r="C512" s="250" t="s">
        <v>4073</v>
      </c>
      <c r="D512" s="250" t="s">
        <v>4093</v>
      </c>
      <c r="K512" s="250">
        <v>0.55000000000000004</v>
      </c>
      <c r="L512" s="250">
        <v>319</v>
      </c>
    </row>
    <row r="513" spans="2:12" ht="15" customHeight="1" x14ac:dyDescent="0.2">
      <c r="B513" s="250" t="s">
        <v>3775</v>
      </c>
      <c r="C513" s="250" t="s">
        <v>4073</v>
      </c>
      <c r="D513" s="250" t="s">
        <v>4092</v>
      </c>
      <c r="K513" s="250">
        <v>0.55000000000000004</v>
      </c>
      <c r="L513" s="250">
        <v>319</v>
      </c>
    </row>
    <row r="514" spans="2:12" ht="15" customHeight="1" x14ac:dyDescent="0.2">
      <c r="B514" s="250" t="s">
        <v>3776</v>
      </c>
      <c r="C514" s="250" t="s">
        <v>3883</v>
      </c>
      <c r="D514" s="250" t="s">
        <v>4092</v>
      </c>
      <c r="K514" s="250">
        <v>0.55000000000000004</v>
      </c>
      <c r="L514" s="250">
        <v>319</v>
      </c>
    </row>
    <row r="515" spans="2:12" ht="15" customHeight="1" x14ac:dyDescent="0.2">
      <c r="B515" s="250" t="s">
        <v>3777</v>
      </c>
      <c r="C515" s="250" t="s">
        <v>4073</v>
      </c>
      <c r="D515" s="250" t="s">
        <v>4093</v>
      </c>
      <c r="K515" s="250">
        <v>0.55000000000000004</v>
      </c>
      <c r="L515" s="250">
        <v>319</v>
      </c>
    </row>
    <row r="516" spans="2:12" ht="15" customHeight="1" x14ac:dyDescent="0.2">
      <c r="B516" s="250" t="s">
        <v>3778</v>
      </c>
      <c r="C516" s="250" t="s">
        <v>4073</v>
      </c>
      <c r="D516" s="250" t="s">
        <v>4092</v>
      </c>
      <c r="K516" s="250">
        <v>0.55000000000000004</v>
      </c>
      <c r="L516" s="250">
        <v>341</v>
      </c>
    </row>
    <row r="517" spans="2:12" ht="15" customHeight="1" x14ac:dyDescent="0.2">
      <c r="B517" s="250" t="s">
        <v>3779</v>
      </c>
      <c r="C517" s="250" t="s">
        <v>3883</v>
      </c>
      <c r="D517" s="250" t="s">
        <v>4092</v>
      </c>
      <c r="K517" s="250">
        <v>0.55000000000000004</v>
      </c>
      <c r="L517" s="250">
        <v>341</v>
      </c>
    </row>
    <row r="518" spans="2:12" ht="15" customHeight="1" x14ac:dyDescent="0.2">
      <c r="B518" s="250" t="s">
        <v>3780</v>
      </c>
      <c r="C518" s="250" t="s">
        <v>4073</v>
      </c>
      <c r="D518" s="250" t="s">
        <v>4093</v>
      </c>
      <c r="K518" s="250">
        <v>0.55000000000000004</v>
      </c>
      <c r="L518" s="250">
        <v>341</v>
      </c>
    </row>
    <row r="519" spans="2:12" ht="15" customHeight="1" x14ac:dyDescent="0.2">
      <c r="B519" s="250" t="s">
        <v>3781</v>
      </c>
      <c r="C519" s="250" t="s">
        <v>3883</v>
      </c>
      <c r="D519" s="250" t="s">
        <v>4093</v>
      </c>
      <c r="K519" s="250">
        <v>0.55000000000000004</v>
      </c>
      <c r="L519" s="250">
        <v>341</v>
      </c>
    </row>
    <row r="520" spans="2:12" ht="15" customHeight="1" x14ac:dyDescent="0.2">
      <c r="B520" s="250" t="s">
        <v>3782</v>
      </c>
      <c r="C520" s="250" t="s">
        <v>3883</v>
      </c>
      <c r="D520" s="250" t="s">
        <v>4092</v>
      </c>
      <c r="K520" s="250">
        <v>0.55000000000000004</v>
      </c>
      <c r="L520" s="250">
        <v>752</v>
      </c>
    </row>
    <row r="521" spans="2:12" ht="15" customHeight="1" x14ac:dyDescent="0.2">
      <c r="B521" s="250" t="s">
        <v>3783</v>
      </c>
      <c r="C521" s="250" t="s">
        <v>4073</v>
      </c>
      <c r="D521" s="250" t="s">
        <v>4093</v>
      </c>
      <c r="K521" s="250">
        <v>0.55000000000000004</v>
      </c>
      <c r="L521" s="250">
        <v>752</v>
      </c>
    </row>
    <row r="522" spans="2:12" ht="15" customHeight="1" x14ac:dyDescent="0.2">
      <c r="B522" s="250" t="s">
        <v>3784</v>
      </c>
      <c r="C522" s="250" t="s">
        <v>3883</v>
      </c>
      <c r="D522" s="250" t="s">
        <v>4093</v>
      </c>
      <c r="K522" s="250">
        <v>0.55000000000000004</v>
      </c>
      <c r="L522" s="250">
        <v>968</v>
      </c>
    </row>
    <row r="523" spans="2:12" ht="15" customHeight="1" x14ac:dyDescent="0.2">
      <c r="B523" s="250" t="s">
        <v>3785</v>
      </c>
      <c r="C523" s="250" t="s">
        <v>4073</v>
      </c>
      <c r="D523" s="250" t="s">
        <v>4093</v>
      </c>
      <c r="K523" s="250">
        <v>0.55000000000000004</v>
      </c>
      <c r="L523" s="250">
        <v>968</v>
      </c>
    </row>
    <row r="524" spans="2:12" ht="15" customHeight="1" x14ac:dyDescent="0.2">
      <c r="B524" s="250" t="s">
        <v>3786</v>
      </c>
      <c r="C524" s="250" t="s">
        <v>4073</v>
      </c>
      <c r="D524" s="250" t="s">
        <v>4093</v>
      </c>
      <c r="K524" s="250">
        <v>0.55000000000000004</v>
      </c>
      <c r="L524" s="250">
        <v>968</v>
      </c>
    </row>
    <row r="525" spans="2:12" ht="15" customHeight="1" x14ac:dyDescent="0.2">
      <c r="B525" s="250" t="s">
        <v>3787</v>
      </c>
      <c r="C525" s="250" t="s">
        <v>4073</v>
      </c>
      <c r="D525" s="250" t="s">
        <v>4093</v>
      </c>
      <c r="K525" s="250">
        <v>0.55000000000000004</v>
      </c>
      <c r="L525" s="250">
        <v>968</v>
      </c>
    </row>
    <row r="526" spans="2:12" ht="15" customHeight="1" x14ac:dyDescent="0.2">
      <c r="B526" s="250" t="s">
        <v>3788</v>
      </c>
      <c r="C526" s="250" t="s">
        <v>4073</v>
      </c>
      <c r="D526" s="250" t="s">
        <v>4093</v>
      </c>
      <c r="K526" s="250">
        <v>0.55000000000000004</v>
      </c>
      <c r="L526" s="250">
        <v>968</v>
      </c>
    </row>
    <row r="527" spans="2:12" ht="15" customHeight="1" x14ac:dyDescent="0.2">
      <c r="B527" s="250" t="s">
        <v>3789</v>
      </c>
      <c r="C527" s="250" t="s">
        <v>4073</v>
      </c>
      <c r="D527" s="250" t="s">
        <v>4093</v>
      </c>
      <c r="K527" s="250">
        <v>0.55000000000000004</v>
      </c>
      <c r="L527" s="250">
        <v>1540</v>
      </c>
    </row>
    <row r="528" spans="2:12" ht="15" customHeight="1" x14ac:dyDescent="0.2">
      <c r="B528" s="250" t="s">
        <v>3790</v>
      </c>
      <c r="C528" s="250" t="s">
        <v>4073</v>
      </c>
      <c r="D528" s="250" t="s">
        <v>4093</v>
      </c>
      <c r="K528" s="250">
        <v>0.55000000000000004</v>
      </c>
      <c r="L528" s="250">
        <v>1540</v>
      </c>
    </row>
    <row r="529" spans="2:12" ht="15" customHeight="1" x14ac:dyDescent="0.2">
      <c r="B529" s="250" t="s">
        <v>3791</v>
      </c>
      <c r="C529" s="250" t="s">
        <v>4073</v>
      </c>
      <c r="D529" s="250" t="s">
        <v>4092</v>
      </c>
      <c r="K529" s="250">
        <v>0.55000000000000004</v>
      </c>
      <c r="L529" s="250">
        <v>1540</v>
      </c>
    </row>
    <row r="530" spans="2:12" ht="15" customHeight="1" x14ac:dyDescent="0.2">
      <c r="B530" s="250" t="s">
        <v>3792</v>
      </c>
      <c r="C530" s="250" t="s">
        <v>4073</v>
      </c>
      <c r="D530" s="250" t="s">
        <v>4093</v>
      </c>
      <c r="K530" s="250">
        <v>0.55000000000000004</v>
      </c>
      <c r="L530" s="250">
        <v>1760</v>
      </c>
    </row>
    <row r="531" spans="2:12" ht="15" customHeight="1" x14ac:dyDescent="0.2">
      <c r="B531" s="250" t="s">
        <v>3793</v>
      </c>
      <c r="C531" s="250" t="s">
        <v>3883</v>
      </c>
      <c r="D531" s="250" t="s">
        <v>4092</v>
      </c>
      <c r="K531" s="250">
        <v>0.55000000000000004</v>
      </c>
      <c r="L531" s="250">
        <v>1760</v>
      </c>
    </row>
    <row r="532" spans="2:12" ht="15" customHeight="1" x14ac:dyDescent="0.2">
      <c r="B532" s="250" t="s">
        <v>3886</v>
      </c>
      <c r="C532" s="250" t="s">
        <v>3883</v>
      </c>
      <c r="D532" s="250" t="s">
        <v>4092</v>
      </c>
      <c r="K532" s="250">
        <v>0.55000000000000004</v>
      </c>
      <c r="L532" s="250">
        <v>4840</v>
      </c>
    </row>
    <row r="533" spans="2:12" ht="15" customHeight="1" x14ac:dyDescent="0.2">
      <c r="B533" s="250" t="s">
        <v>3794</v>
      </c>
      <c r="C533" s="250" t="s">
        <v>3883</v>
      </c>
      <c r="D533" s="250" t="s">
        <v>4092</v>
      </c>
      <c r="K533" s="250">
        <v>0.55000000000000004</v>
      </c>
      <c r="L533" s="250">
        <v>4840</v>
      </c>
    </row>
    <row r="534" spans="2:12" ht="15" customHeight="1" x14ac:dyDescent="0.2">
      <c r="B534" s="250" t="s">
        <v>3795</v>
      </c>
      <c r="C534" s="250" t="s">
        <v>3883</v>
      </c>
      <c r="D534" s="250" t="s">
        <v>4092</v>
      </c>
      <c r="K534" s="250">
        <v>0.55000000000000004</v>
      </c>
      <c r="L534" s="250">
        <v>5610</v>
      </c>
    </row>
    <row r="535" spans="2:12" ht="15" customHeight="1" x14ac:dyDescent="0.2">
      <c r="B535" s="250" t="s">
        <v>3796</v>
      </c>
      <c r="C535" s="250" t="s">
        <v>4073</v>
      </c>
      <c r="D535" s="250" t="s">
        <v>4093</v>
      </c>
      <c r="K535" s="250">
        <v>0.55000000000000004</v>
      </c>
      <c r="L535" s="250">
        <v>5610</v>
      </c>
    </row>
    <row r="536" spans="2:12" ht="15" customHeight="1" x14ac:dyDescent="0.2">
      <c r="B536" s="250" t="s">
        <v>3797</v>
      </c>
      <c r="C536" s="250" t="s">
        <v>3883</v>
      </c>
      <c r="D536" s="250" t="s">
        <v>4093</v>
      </c>
      <c r="K536" s="250">
        <v>0.55000000000000004</v>
      </c>
      <c r="L536" s="250">
        <v>6490</v>
      </c>
    </row>
    <row r="537" spans="2:12" ht="15" customHeight="1" x14ac:dyDescent="0.2">
      <c r="B537" s="250" t="s">
        <v>3798</v>
      </c>
      <c r="C537" s="250" t="s">
        <v>4073</v>
      </c>
      <c r="D537" s="250" t="s">
        <v>4092</v>
      </c>
      <c r="K537" s="250">
        <v>0.55000000000000004</v>
      </c>
      <c r="L537" s="250">
        <v>12100</v>
      </c>
    </row>
    <row r="538" spans="2:12" ht="15" customHeight="1" x14ac:dyDescent="0.2">
      <c r="B538" s="250" t="s">
        <v>3799</v>
      </c>
      <c r="C538" s="250" t="s">
        <v>4073</v>
      </c>
      <c r="D538" s="250" t="s">
        <v>4092</v>
      </c>
      <c r="K538" s="250">
        <v>0.55000000000000004</v>
      </c>
      <c r="L538" s="250">
        <v>14300</v>
      </c>
    </row>
    <row r="539" spans="2:12" ht="15" customHeight="1" x14ac:dyDescent="0.2">
      <c r="B539" s="250" t="s">
        <v>3800</v>
      </c>
      <c r="C539" s="250" t="s">
        <v>4073</v>
      </c>
      <c r="D539" s="250" t="s">
        <v>4092</v>
      </c>
      <c r="K539" s="250">
        <v>0.55000000000000004</v>
      </c>
      <c r="L539" s="250">
        <v>16060</v>
      </c>
    </row>
    <row r="540" spans="2:12" ht="15" customHeight="1" x14ac:dyDescent="0.2">
      <c r="B540" s="250" t="s">
        <v>1753</v>
      </c>
      <c r="C540" s="250" t="s">
        <v>3883</v>
      </c>
      <c r="D540" s="250" t="s">
        <v>542</v>
      </c>
      <c r="K540" s="250">
        <v>0.55000000000000004</v>
      </c>
      <c r="L540" s="250">
        <v>18</v>
      </c>
    </row>
    <row r="541" spans="2:12" ht="15" customHeight="1" x14ac:dyDescent="0.2">
      <c r="B541" s="250" t="s">
        <v>1754</v>
      </c>
      <c r="C541" s="250" t="s">
        <v>3883</v>
      </c>
      <c r="D541" s="250" t="s">
        <v>542</v>
      </c>
      <c r="K541" s="250">
        <v>0.55000000000000004</v>
      </c>
      <c r="L541" s="250">
        <v>53</v>
      </c>
    </row>
    <row r="542" spans="2:12" ht="15" customHeight="1" x14ac:dyDescent="0.2">
      <c r="B542" s="250" t="s">
        <v>4094</v>
      </c>
      <c r="C542" s="250" t="s">
        <v>3883</v>
      </c>
      <c r="D542" s="250" t="s">
        <v>4095</v>
      </c>
      <c r="K542" s="250">
        <v>0.55000000000000004</v>
      </c>
      <c r="L542" s="250">
        <v>55</v>
      </c>
    </row>
    <row r="543" spans="2:12" ht="15" customHeight="1" x14ac:dyDescent="0.2">
      <c r="B543" s="250" t="s">
        <v>1755</v>
      </c>
      <c r="C543" s="250" t="s">
        <v>3883</v>
      </c>
      <c r="D543" s="250" t="s">
        <v>546</v>
      </c>
      <c r="K543" s="250">
        <v>0.55000000000000004</v>
      </c>
      <c r="L543" s="250">
        <v>58.5</v>
      </c>
    </row>
    <row r="544" spans="2:12" ht="15" customHeight="1" x14ac:dyDescent="0.2">
      <c r="B544" s="250" t="s">
        <v>4096</v>
      </c>
      <c r="C544" s="250" t="s">
        <v>4073</v>
      </c>
      <c r="D544" s="250" t="s">
        <v>3668</v>
      </c>
      <c r="K544" s="250">
        <v>0.55000000000000004</v>
      </c>
      <c r="L544" s="250">
        <v>52</v>
      </c>
    </row>
    <row r="545" spans="2:14" ht="15" customHeight="1" x14ac:dyDescent="0.2">
      <c r="B545" s="250" t="s">
        <v>3887</v>
      </c>
      <c r="C545" s="250" t="s">
        <v>4073</v>
      </c>
      <c r="D545" s="250" t="s">
        <v>3668</v>
      </c>
      <c r="K545" s="250">
        <v>0.55000000000000004</v>
      </c>
      <c r="L545" s="250">
        <v>68</v>
      </c>
    </row>
    <row r="546" spans="2:14" ht="15" customHeight="1" x14ac:dyDescent="0.2">
      <c r="B546" s="250" t="s">
        <v>4097</v>
      </c>
      <c r="C546" s="250" t="s">
        <v>4073</v>
      </c>
      <c r="D546" s="250" t="s">
        <v>4098</v>
      </c>
      <c r="K546" s="250">
        <v>0.55000000000000004</v>
      </c>
      <c r="L546" s="250">
        <v>41</v>
      </c>
    </row>
    <row r="547" spans="2:14" ht="15" customHeight="1" x14ac:dyDescent="0.2">
      <c r="B547" s="250" t="s">
        <v>1756</v>
      </c>
      <c r="C547" s="250" t="s">
        <v>4073</v>
      </c>
      <c r="D547" s="250" t="s">
        <v>114</v>
      </c>
      <c r="K547" s="250">
        <v>0.55000000000000004</v>
      </c>
      <c r="L547" s="250">
        <v>52</v>
      </c>
    </row>
    <row r="548" spans="2:14" ht="15" customHeight="1" x14ac:dyDescent="0.2">
      <c r="B548" s="250" t="s">
        <v>3888</v>
      </c>
      <c r="C548" s="250" t="s">
        <v>3883</v>
      </c>
      <c r="D548" s="250" t="s">
        <v>114</v>
      </c>
      <c r="K548" s="250">
        <v>0.55000000000000004</v>
      </c>
      <c r="L548" s="250">
        <v>103</v>
      </c>
    </row>
    <row r="549" spans="2:14" ht="15" customHeight="1" x14ac:dyDescent="0.2">
      <c r="B549" s="250" t="s">
        <v>1757</v>
      </c>
      <c r="C549" s="250" t="s">
        <v>4073</v>
      </c>
      <c r="D549" s="250" t="s">
        <v>114</v>
      </c>
      <c r="K549" s="250">
        <v>0.55000000000000004</v>
      </c>
      <c r="L549" s="250">
        <v>164</v>
      </c>
    </row>
    <row r="550" spans="2:14" ht="15" customHeight="1" x14ac:dyDescent="0.2">
      <c r="B550" s="250" t="s">
        <v>1758</v>
      </c>
      <c r="C550" s="250" t="s">
        <v>4073</v>
      </c>
      <c r="D550" s="250" t="s">
        <v>114</v>
      </c>
      <c r="K550" s="250">
        <v>0.55000000000000004</v>
      </c>
      <c r="L550" s="250">
        <v>174</v>
      </c>
    </row>
    <row r="551" spans="2:14" ht="15" customHeight="1" x14ac:dyDescent="0.2">
      <c r="B551" s="250" t="s">
        <v>1759</v>
      </c>
      <c r="C551" s="250" t="s">
        <v>3883</v>
      </c>
      <c r="D551" s="250" t="s">
        <v>114</v>
      </c>
      <c r="K551" s="250">
        <v>0.55000000000000004</v>
      </c>
      <c r="L551" s="250">
        <v>247</v>
      </c>
    </row>
    <row r="552" spans="2:14" ht="15" customHeight="1" x14ac:dyDescent="0.2">
      <c r="B552" s="250" t="s">
        <v>1760</v>
      </c>
      <c r="C552" s="250" t="s">
        <v>4073</v>
      </c>
      <c r="D552" s="250" t="s">
        <v>114</v>
      </c>
      <c r="K552" s="250">
        <v>0.55000000000000004</v>
      </c>
      <c r="L552" s="250">
        <v>266.5</v>
      </c>
    </row>
    <row r="553" spans="2:14" ht="15" customHeight="1" x14ac:dyDescent="0.2">
      <c r="B553" s="250" t="s">
        <v>1761</v>
      </c>
      <c r="C553" s="250" t="s">
        <v>3883</v>
      </c>
      <c r="D553" s="250" t="s">
        <v>114</v>
      </c>
      <c r="K553" s="250">
        <v>0.55000000000000004</v>
      </c>
      <c r="L553" s="250">
        <v>238</v>
      </c>
    </row>
    <row r="554" spans="2:14" ht="15" customHeight="1" x14ac:dyDescent="0.2">
      <c r="B554" s="250" t="s">
        <v>3507</v>
      </c>
      <c r="C554" s="250" t="s">
        <v>3883</v>
      </c>
      <c r="D554" s="250" t="s">
        <v>1424</v>
      </c>
      <c r="K554" s="250">
        <v>0.55000000000000004</v>
      </c>
      <c r="L554" s="250">
        <v>7</v>
      </c>
      <c r="N554" s="250">
        <v>1</v>
      </c>
    </row>
    <row r="555" spans="2:14" ht="15" customHeight="1" x14ac:dyDescent="0.2">
      <c r="B555" s="250" t="s">
        <v>3508</v>
      </c>
      <c r="C555" s="250" t="s">
        <v>4073</v>
      </c>
      <c r="D555" s="250" t="s">
        <v>1424</v>
      </c>
      <c r="K555" s="250">
        <v>0.55000000000000004</v>
      </c>
      <c r="L555" s="250">
        <v>7</v>
      </c>
      <c r="N555" s="250">
        <v>1</v>
      </c>
    </row>
    <row r="556" spans="2:14" ht="15" customHeight="1" x14ac:dyDescent="0.2">
      <c r="B556" s="250" t="s">
        <v>3509</v>
      </c>
      <c r="C556" s="250" t="s">
        <v>3883</v>
      </c>
      <c r="D556" s="250" t="s">
        <v>1424</v>
      </c>
      <c r="K556" s="250">
        <v>0.55000000000000004</v>
      </c>
      <c r="L556" s="250">
        <v>7</v>
      </c>
      <c r="N556" s="250">
        <v>1</v>
      </c>
    </row>
    <row r="557" spans="2:14" ht="15" customHeight="1" x14ac:dyDescent="0.2">
      <c r="B557" s="250" t="s">
        <v>3510</v>
      </c>
      <c r="C557" s="250" t="s">
        <v>3883</v>
      </c>
      <c r="D557" s="250" t="s">
        <v>1424</v>
      </c>
      <c r="K557" s="250">
        <v>0.55000000000000004</v>
      </c>
      <c r="L557" s="250">
        <v>7</v>
      </c>
      <c r="N557" s="250">
        <v>1</v>
      </c>
    </row>
    <row r="558" spans="2:14" ht="15" customHeight="1" x14ac:dyDescent="0.2">
      <c r="B558" s="250" t="s">
        <v>3511</v>
      </c>
      <c r="C558" s="250" t="s">
        <v>3883</v>
      </c>
      <c r="D558" s="250" t="s">
        <v>1424</v>
      </c>
      <c r="K558" s="250">
        <v>0.55000000000000004</v>
      </c>
      <c r="L558" s="250">
        <v>7</v>
      </c>
      <c r="N558" s="250">
        <v>1</v>
      </c>
    </row>
    <row r="559" spans="2:14" ht="15" customHeight="1" x14ac:dyDescent="0.2">
      <c r="B559" s="250" t="s">
        <v>3512</v>
      </c>
      <c r="C559" s="250" t="s">
        <v>4073</v>
      </c>
      <c r="D559" s="250" t="s">
        <v>1424</v>
      </c>
      <c r="K559" s="250">
        <v>0.55000000000000004</v>
      </c>
      <c r="L559" s="250">
        <v>7</v>
      </c>
      <c r="N559" s="250">
        <v>1</v>
      </c>
    </row>
    <row r="560" spans="2:14" ht="15" customHeight="1" x14ac:dyDescent="0.2">
      <c r="B560" s="250" t="s">
        <v>3513</v>
      </c>
      <c r="C560" s="250" t="s">
        <v>4073</v>
      </c>
      <c r="D560" s="250" t="s">
        <v>1424</v>
      </c>
      <c r="K560" s="250">
        <v>0.55000000000000004</v>
      </c>
      <c r="L560" s="250">
        <v>14</v>
      </c>
      <c r="N560" s="250">
        <v>2</v>
      </c>
    </row>
    <row r="561" spans="2:14" ht="15" customHeight="1" x14ac:dyDescent="0.2">
      <c r="B561" s="250" t="s">
        <v>3514</v>
      </c>
      <c r="C561" s="250" t="s">
        <v>4073</v>
      </c>
      <c r="D561" s="250" t="s">
        <v>1424</v>
      </c>
      <c r="K561" s="250">
        <v>0.55000000000000004</v>
      </c>
      <c r="L561" s="250">
        <v>14</v>
      </c>
      <c r="N561" s="250">
        <v>2</v>
      </c>
    </row>
    <row r="562" spans="2:14" ht="15" customHeight="1" x14ac:dyDescent="0.2">
      <c r="B562" s="250" t="s">
        <v>3515</v>
      </c>
      <c r="C562" s="250" t="s">
        <v>4073</v>
      </c>
      <c r="D562" s="250" t="s">
        <v>1424</v>
      </c>
      <c r="K562" s="250">
        <v>0.55000000000000004</v>
      </c>
      <c r="L562" s="250">
        <v>14</v>
      </c>
      <c r="N562" s="250">
        <v>2</v>
      </c>
    </row>
    <row r="563" spans="2:14" ht="15" customHeight="1" x14ac:dyDescent="0.2">
      <c r="B563" s="250" t="s">
        <v>3516</v>
      </c>
      <c r="C563" s="250" t="s">
        <v>4073</v>
      </c>
      <c r="D563" s="250" t="s">
        <v>1424</v>
      </c>
      <c r="K563" s="250">
        <v>0.55000000000000004</v>
      </c>
      <c r="L563" s="250">
        <v>14</v>
      </c>
      <c r="N563" s="250">
        <v>2</v>
      </c>
    </row>
    <row r="564" spans="2:14" ht="15" customHeight="1" x14ac:dyDescent="0.2">
      <c r="B564" s="250" t="s">
        <v>3517</v>
      </c>
      <c r="C564" s="250" t="s">
        <v>3883</v>
      </c>
      <c r="D564" s="250" t="s">
        <v>1424</v>
      </c>
      <c r="K564" s="250">
        <v>0.55000000000000004</v>
      </c>
      <c r="L564" s="250">
        <v>14</v>
      </c>
      <c r="N564" s="250">
        <v>2</v>
      </c>
    </row>
    <row r="565" spans="2:14" ht="15" customHeight="1" x14ac:dyDescent="0.2">
      <c r="B565" s="250" t="s">
        <v>3518</v>
      </c>
      <c r="C565" s="250" t="s">
        <v>3883</v>
      </c>
      <c r="D565" s="250" t="s">
        <v>1424</v>
      </c>
      <c r="K565" s="250">
        <v>0.55000000000000004</v>
      </c>
      <c r="L565" s="250">
        <v>14</v>
      </c>
      <c r="N565" s="250">
        <v>2</v>
      </c>
    </row>
    <row r="566" spans="2:14" ht="15" customHeight="1" x14ac:dyDescent="0.2">
      <c r="B566" s="250" t="s">
        <v>3519</v>
      </c>
      <c r="C566" s="250" t="s">
        <v>4073</v>
      </c>
      <c r="D566" s="250" t="s">
        <v>1424</v>
      </c>
      <c r="K566" s="250">
        <v>0.55000000000000004</v>
      </c>
      <c r="L566" s="250">
        <v>14</v>
      </c>
      <c r="N566" s="250">
        <v>2</v>
      </c>
    </row>
    <row r="567" spans="2:14" ht="15" customHeight="1" x14ac:dyDescent="0.2">
      <c r="B567" s="250" t="s">
        <v>3520</v>
      </c>
      <c r="C567" s="250" t="s">
        <v>4073</v>
      </c>
      <c r="D567" s="250" t="s">
        <v>1424</v>
      </c>
      <c r="K567" s="250">
        <v>0.55000000000000004</v>
      </c>
      <c r="L567" s="250">
        <v>14</v>
      </c>
      <c r="N567" s="250">
        <v>2</v>
      </c>
    </row>
    <row r="568" spans="2:14" ht="15" customHeight="1" x14ac:dyDescent="0.2">
      <c r="B568" s="250" t="s">
        <v>3521</v>
      </c>
      <c r="C568" s="250" t="s">
        <v>4073</v>
      </c>
      <c r="D568" s="250" t="s">
        <v>1424</v>
      </c>
      <c r="K568" s="250">
        <v>0.55000000000000004</v>
      </c>
      <c r="L568" s="250">
        <v>14</v>
      </c>
      <c r="N568" s="250">
        <v>2</v>
      </c>
    </row>
    <row r="569" spans="2:14" ht="15" customHeight="1" x14ac:dyDescent="0.2">
      <c r="B569" s="250" t="s">
        <v>3522</v>
      </c>
      <c r="C569" s="250" t="s">
        <v>4073</v>
      </c>
      <c r="D569" s="250" t="s">
        <v>1424</v>
      </c>
      <c r="K569" s="250">
        <v>0.55000000000000004</v>
      </c>
      <c r="L569" s="250">
        <v>21</v>
      </c>
      <c r="N569" s="250">
        <v>3</v>
      </c>
    </row>
    <row r="570" spans="2:14" ht="15" customHeight="1" x14ac:dyDescent="0.2">
      <c r="B570" s="250" t="s">
        <v>3523</v>
      </c>
      <c r="C570" s="250" t="s">
        <v>4073</v>
      </c>
      <c r="D570" s="250" t="s">
        <v>1424</v>
      </c>
      <c r="K570" s="250">
        <v>0.55000000000000004</v>
      </c>
      <c r="L570" s="250">
        <v>21</v>
      </c>
      <c r="N570" s="250">
        <v>3</v>
      </c>
    </row>
    <row r="571" spans="2:14" ht="15" customHeight="1" x14ac:dyDescent="0.2">
      <c r="B571" s="250" t="s">
        <v>3524</v>
      </c>
      <c r="C571" s="250" t="s">
        <v>3883</v>
      </c>
      <c r="D571" s="250" t="s">
        <v>1424</v>
      </c>
      <c r="K571" s="250">
        <v>0.55000000000000004</v>
      </c>
      <c r="L571" s="250">
        <v>21</v>
      </c>
      <c r="N571" s="250">
        <v>3</v>
      </c>
    </row>
    <row r="572" spans="2:14" ht="15" customHeight="1" x14ac:dyDescent="0.2">
      <c r="B572" s="250" t="s">
        <v>3525</v>
      </c>
      <c r="C572" s="250" t="s">
        <v>3883</v>
      </c>
      <c r="D572" s="250" t="s">
        <v>1424</v>
      </c>
      <c r="K572" s="250">
        <v>0.55000000000000004</v>
      </c>
      <c r="L572" s="250">
        <v>21</v>
      </c>
      <c r="N572" s="250">
        <v>3</v>
      </c>
    </row>
    <row r="573" spans="2:14" ht="15" customHeight="1" x14ac:dyDescent="0.2">
      <c r="B573" s="250" t="s">
        <v>3526</v>
      </c>
      <c r="C573" s="250" t="s">
        <v>3883</v>
      </c>
      <c r="D573" s="250" t="s">
        <v>1424</v>
      </c>
      <c r="K573" s="250">
        <v>0.55000000000000004</v>
      </c>
      <c r="L573" s="250">
        <v>21</v>
      </c>
      <c r="N573" s="250">
        <v>3</v>
      </c>
    </row>
    <row r="574" spans="2:14" ht="15" customHeight="1" x14ac:dyDescent="0.2">
      <c r="B574" s="250" t="s">
        <v>3527</v>
      </c>
      <c r="C574" s="250" t="s">
        <v>3883</v>
      </c>
      <c r="D574" s="250" t="s">
        <v>1424</v>
      </c>
      <c r="K574" s="250">
        <v>0.55000000000000004</v>
      </c>
      <c r="L574" s="250">
        <v>21</v>
      </c>
      <c r="N574" s="250">
        <v>3</v>
      </c>
    </row>
    <row r="575" spans="2:14" ht="15" customHeight="1" x14ac:dyDescent="0.2">
      <c r="B575" s="250" t="s">
        <v>3528</v>
      </c>
      <c r="C575" s="250" t="s">
        <v>4073</v>
      </c>
      <c r="D575" s="250" t="s">
        <v>1424</v>
      </c>
      <c r="K575" s="250">
        <v>0.55000000000000004</v>
      </c>
      <c r="L575" s="250">
        <v>21</v>
      </c>
      <c r="N575" s="250">
        <v>3</v>
      </c>
    </row>
    <row r="576" spans="2:14" ht="15" customHeight="1" x14ac:dyDescent="0.2">
      <c r="B576" s="250" t="s">
        <v>3529</v>
      </c>
      <c r="C576" s="250" t="s">
        <v>3883</v>
      </c>
      <c r="D576" s="250" t="s">
        <v>1424</v>
      </c>
      <c r="K576" s="250">
        <v>0.55000000000000004</v>
      </c>
      <c r="L576" s="250">
        <v>21</v>
      </c>
      <c r="N576" s="250">
        <v>3</v>
      </c>
    </row>
    <row r="577" spans="2:14" ht="15" customHeight="1" x14ac:dyDescent="0.2">
      <c r="B577" s="250" t="s">
        <v>3530</v>
      </c>
      <c r="C577" s="250" t="s">
        <v>4073</v>
      </c>
      <c r="D577" s="250" t="s">
        <v>1424</v>
      </c>
      <c r="K577" s="250">
        <v>0.55000000000000004</v>
      </c>
      <c r="L577" s="250">
        <v>21</v>
      </c>
      <c r="N577" s="250">
        <v>3</v>
      </c>
    </row>
    <row r="578" spans="2:14" ht="15" customHeight="1" x14ac:dyDescent="0.2">
      <c r="B578" s="250" t="s">
        <v>3531</v>
      </c>
      <c r="C578" s="250" t="s">
        <v>3883</v>
      </c>
      <c r="D578" s="250" t="s">
        <v>1424</v>
      </c>
      <c r="K578" s="250">
        <v>0.55000000000000004</v>
      </c>
      <c r="L578" s="250">
        <v>28</v>
      </c>
      <c r="N578" s="250">
        <v>4</v>
      </c>
    </row>
    <row r="579" spans="2:14" ht="15" customHeight="1" x14ac:dyDescent="0.2">
      <c r="B579" s="250" t="s">
        <v>3532</v>
      </c>
      <c r="C579" s="250" t="s">
        <v>4073</v>
      </c>
      <c r="D579" s="250" t="s">
        <v>1424</v>
      </c>
      <c r="K579" s="250">
        <v>0.55000000000000004</v>
      </c>
      <c r="L579" s="250">
        <v>28</v>
      </c>
      <c r="N579" s="250">
        <v>4</v>
      </c>
    </row>
    <row r="580" spans="2:14" ht="15" customHeight="1" x14ac:dyDescent="0.2">
      <c r="B580" s="250" t="s">
        <v>3533</v>
      </c>
      <c r="C580" s="250" t="s">
        <v>4073</v>
      </c>
      <c r="D580" s="250" t="s">
        <v>1424</v>
      </c>
      <c r="K580" s="250">
        <v>0.55000000000000004</v>
      </c>
      <c r="L580" s="250">
        <v>28</v>
      </c>
      <c r="N580" s="250">
        <v>4</v>
      </c>
    </row>
    <row r="581" spans="2:14" ht="15" customHeight="1" x14ac:dyDescent="0.2">
      <c r="B581" s="250" t="s">
        <v>3534</v>
      </c>
      <c r="C581" s="250" t="s">
        <v>3883</v>
      </c>
      <c r="D581" s="250" t="s">
        <v>1424</v>
      </c>
      <c r="K581" s="250">
        <v>0.55000000000000004</v>
      </c>
      <c r="L581" s="250">
        <v>28</v>
      </c>
      <c r="N581" s="250">
        <v>4</v>
      </c>
    </row>
    <row r="582" spans="2:14" ht="15" customHeight="1" x14ac:dyDescent="0.2">
      <c r="B582" s="250" t="s">
        <v>3535</v>
      </c>
      <c r="C582" s="250" t="s">
        <v>3883</v>
      </c>
      <c r="D582" s="250" t="s">
        <v>1424</v>
      </c>
      <c r="K582" s="250">
        <v>0.55000000000000004</v>
      </c>
      <c r="L582" s="250">
        <v>28</v>
      </c>
      <c r="N582" s="250">
        <v>4</v>
      </c>
    </row>
    <row r="583" spans="2:14" ht="15" customHeight="1" x14ac:dyDescent="0.2">
      <c r="B583" s="250" t="s">
        <v>3536</v>
      </c>
      <c r="C583" s="250" t="s">
        <v>3883</v>
      </c>
      <c r="D583" s="250" t="s">
        <v>1424</v>
      </c>
      <c r="K583" s="250">
        <v>0.55000000000000004</v>
      </c>
      <c r="L583" s="250">
        <v>28</v>
      </c>
      <c r="N583" s="250">
        <v>4</v>
      </c>
    </row>
    <row r="584" spans="2:14" ht="15" customHeight="1" x14ac:dyDescent="0.2">
      <c r="B584" s="250" t="s">
        <v>3537</v>
      </c>
      <c r="C584" s="250" t="s">
        <v>4073</v>
      </c>
      <c r="D584" s="250" t="s">
        <v>1424</v>
      </c>
      <c r="K584" s="250">
        <v>0.55000000000000004</v>
      </c>
      <c r="L584" s="250">
        <v>28</v>
      </c>
      <c r="N584" s="250">
        <v>4</v>
      </c>
    </row>
    <row r="585" spans="2:14" ht="15" customHeight="1" x14ac:dyDescent="0.2">
      <c r="B585" s="250" t="s">
        <v>3538</v>
      </c>
      <c r="C585" s="250" t="s">
        <v>4099</v>
      </c>
      <c r="D585" s="250" t="s">
        <v>1424</v>
      </c>
      <c r="K585" s="250">
        <v>0.55000000000000004</v>
      </c>
      <c r="L585" s="250">
        <v>28</v>
      </c>
      <c r="N585" s="250">
        <v>4</v>
      </c>
    </row>
    <row r="586" spans="2:14" ht="15" customHeight="1" x14ac:dyDescent="0.2">
      <c r="B586" s="250" t="s">
        <v>3539</v>
      </c>
      <c r="C586" s="250" t="s">
        <v>4073</v>
      </c>
      <c r="D586" s="250" t="s">
        <v>1424</v>
      </c>
      <c r="K586" s="250">
        <v>0.55000000000000004</v>
      </c>
      <c r="L586" s="250">
        <v>28</v>
      </c>
      <c r="N586" s="250">
        <v>4</v>
      </c>
    </row>
    <row r="587" spans="2:14" ht="15" customHeight="1" x14ac:dyDescent="0.2">
      <c r="B587" s="253" t="s">
        <v>4100</v>
      </c>
      <c r="C587" s="250" t="s">
        <v>4099</v>
      </c>
      <c r="D587" s="250" t="s">
        <v>656</v>
      </c>
      <c r="K587" s="250">
        <v>0.55000000000000004</v>
      </c>
      <c r="L587" s="250">
        <v>4</v>
      </c>
      <c r="N587" s="250">
        <v>1</v>
      </c>
    </row>
    <row r="588" spans="2:14" ht="15" customHeight="1" x14ac:dyDescent="0.2">
      <c r="B588" s="253" t="s">
        <v>4101</v>
      </c>
      <c r="C588" s="250" t="s">
        <v>4073</v>
      </c>
      <c r="D588" s="250" t="s">
        <v>656</v>
      </c>
      <c r="K588" s="250">
        <v>0.55000000000000004</v>
      </c>
      <c r="L588" s="250">
        <v>6</v>
      </c>
      <c r="N588" s="250">
        <v>2</v>
      </c>
    </row>
    <row r="589" spans="2:14" ht="15" customHeight="1" x14ac:dyDescent="0.2">
      <c r="B589" s="253" t="s">
        <v>3889</v>
      </c>
      <c r="C589" s="250" t="s">
        <v>4073</v>
      </c>
      <c r="D589" s="250" t="s">
        <v>656</v>
      </c>
      <c r="K589" s="250">
        <v>0.55000000000000004</v>
      </c>
      <c r="L589" s="250">
        <v>6</v>
      </c>
      <c r="N589" s="250">
        <v>2</v>
      </c>
    </row>
    <row r="590" spans="2:14" ht="15" customHeight="1" x14ac:dyDescent="0.2">
      <c r="B590" s="253" t="s">
        <v>4102</v>
      </c>
      <c r="C590" s="250" t="s">
        <v>4099</v>
      </c>
      <c r="D590" s="250" t="s">
        <v>656</v>
      </c>
      <c r="K590" s="250">
        <v>0.55000000000000004</v>
      </c>
      <c r="L590" s="250">
        <v>9</v>
      </c>
      <c r="N590" s="250">
        <v>3</v>
      </c>
    </row>
    <row r="591" spans="2:14" ht="15" customHeight="1" x14ac:dyDescent="0.2">
      <c r="B591" s="253" t="s">
        <v>3890</v>
      </c>
      <c r="C591" s="250" t="s">
        <v>4073</v>
      </c>
      <c r="D591" s="250" t="s">
        <v>656</v>
      </c>
      <c r="K591" s="250">
        <v>0.55000000000000004</v>
      </c>
      <c r="L591" s="250">
        <v>9</v>
      </c>
      <c r="N591" s="250">
        <v>4</v>
      </c>
    </row>
    <row r="592" spans="2:14" ht="15" customHeight="1" x14ac:dyDescent="0.2">
      <c r="B592" s="250" t="s">
        <v>84</v>
      </c>
      <c r="C592" s="250" t="s">
        <v>4099</v>
      </c>
      <c r="D592" s="250" t="s">
        <v>3891</v>
      </c>
      <c r="K592" s="250">
        <v>0.55000000000000004</v>
      </c>
      <c r="L592" s="250">
        <v>30</v>
      </c>
    </row>
    <row r="593" spans="2:14" ht="15" customHeight="1" x14ac:dyDescent="0.2">
      <c r="B593" s="250" t="s">
        <v>120</v>
      </c>
      <c r="C593" s="250" t="s">
        <v>3883</v>
      </c>
      <c r="D593" s="250" t="s">
        <v>4103</v>
      </c>
      <c r="K593" s="250">
        <v>0.55000000000000004</v>
      </c>
      <c r="L593" s="250">
        <v>30</v>
      </c>
    </row>
    <row r="594" spans="2:14" ht="15" customHeight="1" x14ac:dyDescent="0.2">
      <c r="B594" s="250" t="s">
        <v>1762</v>
      </c>
      <c r="C594" s="250" t="s">
        <v>4099</v>
      </c>
      <c r="D594" s="250" t="s">
        <v>263</v>
      </c>
      <c r="K594" s="250">
        <v>0.55000000000000004</v>
      </c>
      <c r="L594" s="250">
        <v>60</v>
      </c>
    </row>
    <row r="595" spans="2:14" ht="15" customHeight="1" x14ac:dyDescent="0.2">
      <c r="B595" s="250" t="s">
        <v>1763</v>
      </c>
      <c r="C595" s="250" t="s">
        <v>3883</v>
      </c>
      <c r="D595" s="250" t="s">
        <v>3891</v>
      </c>
      <c r="K595" s="250">
        <v>0.55000000000000004</v>
      </c>
      <c r="L595" s="250">
        <v>20.5</v>
      </c>
    </row>
    <row r="596" spans="2:14" ht="15" customHeight="1" x14ac:dyDescent="0.2">
      <c r="B596" s="250" t="s">
        <v>1764</v>
      </c>
      <c r="C596" s="250" t="s">
        <v>3883</v>
      </c>
      <c r="D596" s="250" t="s">
        <v>3891</v>
      </c>
      <c r="K596" s="250">
        <v>0.55000000000000004</v>
      </c>
      <c r="L596" s="250">
        <v>20.5</v>
      </c>
    </row>
    <row r="597" spans="2:14" ht="15" customHeight="1" x14ac:dyDescent="0.2">
      <c r="B597" s="250" t="s">
        <v>145</v>
      </c>
      <c r="C597" s="250" t="s">
        <v>4099</v>
      </c>
      <c r="D597" s="250" t="s">
        <v>3891</v>
      </c>
      <c r="K597" s="250">
        <v>0.55000000000000004</v>
      </c>
      <c r="L597" s="250">
        <v>25</v>
      </c>
    </row>
    <row r="598" spans="2:14" ht="15" customHeight="1" x14ac:dyDescent="0.2">
      <c r="B598" s="250" t="s">
        <v>150</v>
      </c>
      <c r="C598" s="250" t="s">
        <v>3883</v>
      </c>
      <c r="D598" s="250" t="s">
        <v>4104</v>
      </c>
      <c r="K598" s="250">
        <v>0.55000000000000004</v>
      </c>
      <c r="L598" s="250">
        <v>25</v>
      </c>
    </row>
    <row r="599" spans="2:14" ht="15" customHeight="1" x14ac:dyDescent="0.2">
      <c r="B599" s="250" t="s">
        <v>1765</v>
      </c>
      <c r="C599" s="250" t="s">
        <v>4099</v>
      </c>
      <c r="D599" s="250" t="s">
        <v>263</v>
      </c>
      <c r="K599" s="250">
        <v>0.55000000000000004</v>
      </c>
      <c r="L599" s="250">
        <v>60</v>
      </c>
    </row>
    <row r="600" spans="2:14" ht="15" customHeight="1" x14ac:dyDescent="0.2">
      <c r="B600" s="253" t="s">
        <v>4105</v>
      </c>
      <c r="C600" s="250" t="s">
        <v>3883</v>
      </c>
      <c r="D600" s="250" t="s">
        <v>4104</v>
      </c>
      <c r="K600" s="250">
        <v>0.55000000000000004</v>
      </c>
      <c r="L600" s="250">
        <v>16</v>
      </c>
    </row>
    <row r="601" spans="2:14" ht="15" customHeight="1" x14ac:dyDescent="0.2">
      <c r="B601" s="253" t="s">
        <v>4106</v>
      </c>
      <c r="C601" s="250" t="s">
        <v>4073</v>
      </c>
      <c r="D601" s="250" t="s">
        <v>265</v>
      </c>
      <c r="K601" s="250">
        <v>0.55000000000000004</v>
      </c>
      <c r="L601" s="250">
        <v>42</v>
      </c>
    </row>
    <row r="602" spans="2:14" ht="15" customHeight="1" x14ac:dyDescent="0.2">
      <c r="B602" s="253" t="s">
        <v>4107</v>
      </c>
      <c r="C602" s="250" t="s">
        <v>4073</v>
      </c>
      <c r="D602" s="250" t="s">
        <v>3891</v>
      </c>
      <c r="K602" s="250">
        <v>0.55000000000000004</v>
      </c>
      <c r="L602" s="250">
        <v>16</v>
      </c>
    </row>
    <row r="603" spans="2:14" ht="15" customHeight="1" x14ac:dyDescent="0.2">
      <c r="B603" s="250" t="s">
        <v>1767</v>
      </c>
      <c r="C603" s="250" t="s">
        <v>3883</v>
      </c>
      <c r="D603" s="250" t="s">
        <v>1766</v>
      </c>
      <c r="K603" s="250">
        <v>0.55000000000000004</v>
      </c>
      <c r="L603" s="250">
        <v>46</v>
      </c>
    </row>
    <row r="604" spans="2:14" ht="15" customHeight="1" x14ac:dyDescent="0.2">
      <c r="B604" s="250" t="s">
        <v>1768</v>
      </c>
      <c r="C604" s="250" t="s">
        <v>4073</v>
      </c>
      <c r="D604" s="250" t="s">
        <v>1769</v>
      </c>
      <c r="K604" s="250">
        <v>0.55000000000000004</v>
      </c>
      <c r="L604" s="250">
        <v>56</v>
      </c>
      <c r="N604" s="250">
        <v>2</v>
      </c>
    </row>
    <row r="605" spans="2:14" ht="15" customHeight="1" x14ac:dyDescent="0.2">
      <c r="B605" s="250" t="s">
        <v>3675</v>
      </c>
      <c r="C605" s="250" t="s">
        <v>3883</v>
      </c>
      <c r="D605" s="250" t="s">
        <v>61</v>
      </c>
      <c r="K605" s="250">
        <v>0.55000000000000004</v>
      </c>
      <c r="L605" s="250">
        <v>38.5</v>
      </c>
    </row>
    <row r="606" spans="2:14" ht="15" customHeight="1" x14ac:dyDescent="0.2">
      <c r="B606" s="250" t="s">
        <v>3676</v>
      </c>
      <c r="C606" s="250" t="s">
        <v>3883</v>
      </c>
      <c r="D606" s="250" t="s">
        <v>61</v>
      </c>
      <c r="K606" s="250">
        <v>0.55000000000000004</v>
      </c>
      <c r="L606" s="250">
        <v>29.4</v>
      </c>
    </row>
    <row r="607" spans="2:14" ht="15" customHeight="1" x14ac:dyDescent="0.2">
      <c r="B607" s="250" t="s">
        <v>3677</v>
      </c>
      <c r="C607" s="250" t="s">
        <v>3883</v>
      </c>
      <c r="D607" s="250" t="s">
        <v>61</v>
      </c>
      <c r="K607" s="250">
        <v>0.55000000000000004</v>
      </c>
      <c r="L607" s="250">
        <v>29.4</v>
      </c>
    </row>
    <row r="608" spans="2:14" ht="15" customHeight="1" x14ac:dyDescent="0.2">
      <c r="B608" s="250" t="s">
        <v>3678</v>
      </c>
      <c r="C608" s="250" t="s">
        <v>4073</v>
      </c>
      <c r="D608" s="250" t="s">
        <v>61</v>
      </c>
      <c r="K608" s="250">
        <v>0.55000000000000004</v>
      </c>
      <c r="L608" s="250">
        <v>29.4</v>
      </c>
    </row>
    <row r="609" spans="2:12" ht="15" customHeight="1" x14ac:dyDescent="0.2">
      <c r="B609" s="250" t="s">
        <v>3679</v>
      </c>
      <c r="C609" s="250" t="s">
        <v>3883</v>
      </c>
      <c r="D609" s="250" t="s">
        <v>61</v>
      </c>
      <c r="K609" s="250">
        <v>0.55000000000000004</v>
      </c>
      <c r="L609" s="250">
        <v>33</v>
      </c>
    </row>
    <row r="610" spans="2:12" ht="15" customHeight="1" x14ac:dyDescent="0.2">
      <c r="B610" s="250" t="s">
        <v>3680</v>
      </c>
      <c r="C610" s="250" t="s">
        <v>4099</v>
      </c>
      <c r="D610" s="250" t="s">
        <v>61</v>
      </c>
      <c r="K610" s="250">
        <v>0.55000000000000004</v>
      </c>
      <c r="L610" s="250">
        <v>33</v>
      </c>
    </row>
    <row r="611" spans="2:12" ht="15" customHeight="1" x14ac:dyDescent="0.2">
      <c r="B611" s="250" t="s">
        <v>3681</v>
      </c>
      <c r="C611" s="250" t="s">
        <v>4099</v>
      </c>
      <c r="D611" s="250" t="s">
        <v>61</v>
      </c>
      <c r="K611" s="250">
        <v>0.55000000000000004</v>
      </c>
      <c r="L611" s="250">
        <v>37.6</v>
      </c>
    </row>
    <row r="612" spans="2:12" ht="15" customHeight="1" x14ac:dyDescent="0.2">
      <c r="B612" s="250" t="s">
        <v>3682</v>
      </c>
      <c r="C612" s="250" t="s">
        <v>3883</v>
      </c>
      <c r="D612" s="250" t="s">
        <v>61</v>
      </c>
      <c r="K612" s="250">
        <v>0.55000000000000004</v>
      </c>
      <c r="L612" s="250">
        <v>38</v>
      </c>
    </row>
    <row r="613" spans="2:12" ht="15" customHeight="1" x14ac:dyDescent="0.2">
      <c r="B613" s="250" t="s">
        <v>3683</v>
      </c>
      <c r="C613" s="250" t="s">
        <v>3883</v>
      </c>
      <c r="D613" s="250" t="s">
        <v>61</v>
      </c>
      <c r="K613" s="250">
        <v>0.55000000000000004</v>
      </c>
      <c r="L613" s="250">
        <v>40</v>
      </c>
    </row>
    <row r="614" spans="2:12" ht="15" customHeight="1" x14ac:dyDescent="0.2">
      <c r="B614" s="250" t="s">
        <v>3684</v>
      </c>
      <c r="C614" s="250" t="s">
        <v>3883</v>
      </c>
      <c r="D614" s="250" t="s">
        <v>61</v>
      </c>
      <c r="K614" s="250">
        <v>0.55000000000000004</v>
      </c>
      <c r="L614" s="250">
        <v>45</v>
      </c>
    </row>
    <row r="615" spans="2:12" ht="15" customHeight="1" x14ac:dyDescent="0.2">
      <c r="B615" s="250" t="s">
        <v>3685</v>
      </c>
      <c r="C615" s="250" t="s">
        <v>4073</v>
      </c>
      <c r="D615" s="250" t="s">
        <v>61</v>
      </c>
      <c r="K615" s="250">
        <v>0.55000000000000004</v>
      </c>
      <c r="L615" s="250">
        <v>48</v>
      </c>
    </row>
    <row r="616" spans="2:12" ht="15" customHeight="1" x14ac:dyDescent="0.2">
      <c r="B616" s="250" t="s">
        <v>3686</v>
      </c>
      <c r="C616" s="250" t="s">
        <v>3883</v>
      </c>
      <c r="D616" s="250" t="s">
        <v>61</v>
      </c>
      <c r="K616" s="250">
        <v>0.55000000000000004</v>
      </c>
      <c r="L616" s="250">
        <v>53</v>
      </c>
    </row>
    <row r="617" spans="2:12" ht="15" customHeight="1" x14ac:dyDescent="0.2">
      <c r="B617" s="250" t="s">
        <v>3687</v>
      </c>
      <c r="C617" s="250" t="s">
        <v>4073</v>
      </c>
      <c r="D617" s="250" t="s">
        <v>61</v>
      </c>
      <c r="K617" s="250">
        <v>0.55000000000000004</v>
      </c>
      <c r="L617" s="250">
        <v>42</v>
      </c>
    </row>
    <row r="618" spans="2:12" ht="15" customHeight="1" x14ac:dyDescent="0.2">
      <c r="B618" s="250" t="s">
        <v>3688</v>
      </c>
      <c r="C618" s="250" t="s">
        <v>3883</v>
      </c>
      <c r="D618" s="250" t="s">
        <v>61</v>
      </c>
      <c r="K618" s="250">
        <v>0.55000000000000004</v>
      </c>
      <c r="L618" s="250">
        <v>44</v>
      </c>
    </row>
    <row r="619" spans="2:12" ht="15" customHeight="1" x14ac:dyDescent="0.2">
      <c r="B619" s="250" t="s">
        <v>3689</v>
      </c>
      <c r="C619" s="250" t="s">
        <v>4073</v>
      </c>
      <c r="D619" s="250" t="s">
        <v>61</v>
      </c>
      <c r="K619" s="250">
        <v>0.55000000000000004</v>
      </c>
      <c r="L619" s="250">
        <v>46</v>
      </c>
    </row>
    <row r="620" spans="2:12" ht="15" customHeight="1" x14ac:dyDescent="0.2">
      <c r="B620" s="250" t="s">
        <v>3690</v>
      </c>
      <c r="C620" s="250" t="s">
        <v>3883</v>
      </c>
      <c r="D620" s="250" t="s">
        <v>61</v>
      </c>
      <c r="K620" s="250">
        <v>0.55000000000000004</v>
      </c>
      <c r="L620" s="250">
        <v>51</v>
      </c>
    </row>
    <row r="621" spans="2:12" ht="15" customHeight="1" x14ac:dyDescent="0.2">
      <c r="B621" s="250" t="s">
        <v>3691</v>
      </c>
      <c r="C621" s="250" t="s">
        <v>4099</v>
      </c>
      <c r="D621" s="250" t="s">
        <v>61</v>
      </c>
      <c r="K621" s="250">
        <v>0.55000000000000004</v>
      </c>
      <c r="L621" s="250">
        <v>55</v>
      </c>
    </row>
    <row r="622" spans="2:12" ht="15" customHeight="1" x14ac:dyDescent="0.2">
      <c r="B622" s="250" t="s">
        <v>3692</v>
      </c>
      <c r="C622" s="250" t="s">
        <v>3883</v>
      </c>
      <c r="D622" s="250" t="s">
        <v>61</v>
      </c>
      <c r="K622" s="250">
        <v>0.55000000000000004</v>
      </c>
      <c r="L622" s="250">
        <v>62</v>
      </c>
    </row>
    <row r="623" spans="2:12" ht="15" customHeight="1" x14ac:dyDescent="0.2">
      <c r="B623" s="250" t="s">
        <v>3693</v>
      </c>
      <c r="C623" s="250" t="s">
        <v>4099</v>
      </c>
      <c r="D623" s="250" t="s">
        <v>61</v>
      </c>
      <c r="K623" s="250">
        <v>0.55000000000000004</v>
      </c>
      <c r="L623" s="250">
        <v>54.2</v>
      </c>
    </row>
    <row r="624" spans="2:12" ht="15" customHeight="1" x14ac:dyDescent="0.2">
      <c r="B624" s="250" t="s">
        <v>3694</v>
      </c>
      <c r="C624" s="250" t="s">
        <v>3883</v>
      </c>
      <c r="D624" s="250" t="s">
        <v>61</v>
      </c>
      <c r="K624" s="250">
        <v>0.55000000000000004</v>
      </c>
      <c r="L624" s="250">
        <v>54.2</v>
      </c>
    </row>
    <row r="625" spans="2:12" ht="15" customHeight="1" x14ac:dyDescent="0.2">
      <c r="B625" s="250" t="s">
        <v>3695</v>
      </c>
      <c r="C625" s="250" t="s">
        <v>4073</v>
      </c>
      <c r="D625" s="250" t="s">
        <v>61</v>
      </c>
      <c r="K625" s="250">
        <v>0.55000000000000004</v>
      </c>
      <c r="L625" s="250">
        <v>54.2</v>
      </c>
    </row>
    <row r="626" spans="2:12" ht="15" customHeight="1" x14ac:dyDescent="0.2">
      <c r="B626" s="250" t="s">
        <v>3696</v>
      </c>
      <c r="C626" s="250" t="s">
        <v>3883</v>
      </c>
      <c r="D626" s="250" t="s">
        <v>61</v>
      </c>
      <c r="K626" s="250">
        <v>0.55000000000000004</v>
      </c>
      <c r="L626" s="250">
        <v>59</v>
      </c>
    </row>
    <row r="627" spans="2:12" ht="15" customHeight="1" x14ac:dyDescent="0.2">
      <c r="B627" s="250" t="s">
        <v>3697</v>
      </c>
      <c r="C627" s="250" t="s">
        <v>4099</v>
      </c>
      <c r="D627" s="250" t="s">
        <v>61</v>
      </c>
      <c r="K627" s="250">
        <v>0.55000000000000004</v>
      </c>
      <c r="L627" s="250">
        <v>65</v>
      </c>
    </row>
    <row r="628" spans="2:12" ht="15" customHeight="1" x14ac:dyDescent="0.2">
      <c r="B628" s="250" t="s">
        <v>3698</v>
      </c>
      <c r="C628" s="250" t="s">
        <v>4099</v>
      </c>
      <c r="D628" s="250" t="s">
        <v>61</v>
      </c>
      <c r="K628" s="250">
        <v>0.55000000000000004</v>
      </c>
      <c r="L628" s="250">
        <v>72</v>
      </c>
    </row>
    <row r="629" spans="2:12" ht="15" customHeight="1" x14ac:dyDescent="0.2">
      <c r="B629" s="250" t="s">
        <v>3699</v>
      </c>
      <c r="C629" s="250" t="s">
        <v>4073</v>
      </c>
      <c r="D629" s="250" t="s">
        <v>61</v>
      </c>
      <c r="K629" s="250">
        <v>0.55000000000000004</v>
      </c>
      <c r="L629" s="250">
        <v>68</v>
      </c>
    </row>
    <row r="630" spans="2:12" ht="15" customHeight="1" x14ac:dyDescent="0.2">
      <c r="B630" s="250" t="s">
        <v>3700</v>
      </c>
      <c r="C630" s="250" t="s">
        <v>3883</v>
      </c>
      <c r="D630" s="250" t="s">
        <v>61</v>
      </c>
      <c r="K630" s="250">
        <v>0.55000000000000004</v>
      </c>
      <c r="L630" s="250">
        <v>68</v>
      </c>
    </row>
    <row r="631" spans="2:12" ht="15" customHeight="1" x14ac:dyDescent="0.2">
      <c r="B631" s="250" t="s">
        <v>3701</v>
      </c>
      <c r="C631" s="250" t="s">
        <v>3883</v>
      </c>
      <c r="D631" s="250" t="s">
        <v>61</v>
      </c>
      <c r="K631" s="250">
        <v>0.55000000000000004</v>
      </c>
      <c r="L631" s="250">
        <v>72.099999999999994</v>
      </c>
    </row>
    <row r="632" spans="2:12" ht="15" customHeight="1" x14ac:dyDescent="0.2">
      <c r="B632" s="250" t="s">
        <v>3702</v>
      </c>
      <c r="C632" s="250" t="s">
        <v>4073</v>
      </c>
      <c r="D632" s="250" t="s">
        <v>61</v>
      </c>
      <c r="K632" s="250">
        <v>0.55000000000000004</v>
      </c>
      <c r="L632" s="250">
        <v>72.099999999999994</v>
      </c>
    </row>
    <row r="633" spans="2:12" ht="15" customHeight="1" x14ac:dyDescent="0.2">
      <c r="B633" s="250" t="s">
        <v>3703</v>
      </c>
      <c r="C633" s="250" t="s">
        <v>4099</v>
      </c>
      <c r="D633" s="250" t="s">
        <v>61</v>
      </c>
      <c r="K633" s="250">
        <v>0.55000000000000004</v>
      </c>
      <c r="L633" s="250">
        <v>79</v>
      </c>
    </row>
    <row r="634" spans="2:12" ht="15" customHeight="1" x14ac:dyDescent="0.2">
      <c r="B634" s="250" t="s">
        <v>3704</v>
      </c>
      <c r="C634" s="250" t="s">
        <v>4073</v>
      </c>
      <c r="D634" s="250" t="s">
        <v>61</v>
      </c>
      <c r="K634" s="250">
        <v>0.55000000000000004</v>
      </c>
      <c r="L634" s="250">
        <v>85</v>
      </c>
    </row>
    <row r="635" spans="2:12" ht="15" customHeight="1" x14ac:dyDescent="0.2">
      <c r="B635" s="250" t="s">
        <v>3705</v>
      </c>
      <c r="C635" s="250" t="s">
        <v>3883</v>
      </c>
      <c r="D635" s="250" t="s">
        <v>61</v>
      </c>
      <c r="K635" s="250">
        <v>0.55000000000000004</v>
      </c>
      <c r="L635" s="250">
        <v>75</v>
      </c>
    </row>
    <row r="636" spans="2:12" ht="15" customHeight="1" x14ac:dyDescent="0.2">
      <c r="B636" s="250" t="s">
        <v>3706</v>
      </c>
      <c r="C636" s="250" t="s">
        <v>4099</v>
      </c>
      <c r="D636" s="250" t="s">
        <v>61</v>
      </c>
      <c r="K636" s="250">
        <v>0.55000000000000004</v>
      </c>
      <c r="L636" s="250">
        <v>79</v>
      </c>
    </row>
    <row r="637" spans="2:12" ht="15" customHeight="1" x14ac:dyDescent="0.2">
      <c r="B637" s="250" t="s">
        <v>3707</v>
      </c>
      <c r="C637" s="250" t="s">
        <v>3883</v>
      </c>
      <c r="D637" s="250" t="s">
        <v>61</v>
      </c>
      <c r="K637" s="250">
        <v>0.55000000000000004</v>
      </c>
      <c r="L637" s="250">
        <v>85</v>
      </c>
    </row>
    <row r="638" spans="2:12" ht="15" customHeight="1" x14ac:dyDescent="0.2">
      <c r="B638" s="250" t="s">
        <v>3708</v>
      </c>
      <c r="C638" s="250" t="s">
        <v>4099</v>
      </c>
      <c r="D638" s="250" t="s">
        <v>61</v>
      </c>
      <c r="K638" s="250">
        <v>0.55000000000000004</v>
      </c>
      <c r="L638" s="250">
        <v>85</v>
      </c>
    </row>
    <row r="639" spans="2:12" ht="15" customHeight="1" x14ac:dyDescent="0.2">
      <c r="B639" s="250" t="s">
        <v>3709</v>
      </c>
      <c r="C639" s="250" t="s">
        <v>4099</v>
      </c>
      <c r="D639" s="250" t="s">
        <v>61</v>
      </c>
      <c r="K639" s="250">
        <v>0.55000000000000004</v>
      </c>
      <c r="L639" s="250">
        <v>102</v>
      </c>
    </row>
    <row r="640" spans="2:12" ht="15" customHeight="1" x14ac:dyDescent="0.2">
      <c r="B640" s="250" t="s">
        <v>3710</v>
      </c>
      <c r="C640" s="250" t="s">
        <v>3883</v>
      </c>
      <c r="D640" s="250" t="s">
        <v>61</v>
      </c>
      <c r="K640" s="250">
        <v>0.55000000000000004</v>
      </c>
      <c r="L640" s="250">
        <v>95</v>
      </c>
    </row>
    <row r="641" spans="2:12" ht="15" customHeight="1" x14ac:dyDescent="0.2">
      <c r="B641" s="250" t="s">
        <v>3711</v>
      </c>
      <c r="C641" s="250" t="s">
        <v>4073</v>
      </c>
      <c r="D641" s="250" t="s">
        <v>61</v>
      </c>
      <c r="K641" s="250">
        <v>0.55000000000000004</v>
      </c>
      <c r="L641" s="250">
        <v>108</v>
      </c>
    </row>
    <row r="642" spans="2:12" ht="15" customHeight="1" x14ac:dyDescent="0.2">
      <c r="B642" s="250" t="s">
        <v>3712</v>
      </c>
      <c r="C642" s="250" t="s">
        <v>3883</v>
      </c>
      <c r="D642" s="250" t="s">
        <v>61</v>
      </c>
      <c r="K642" s="250">
        <v>0.55000000000000004</v>
      </c>
      <c r="L642" s="250">
        <v>110</v>
      </c>
    </row>
    <row r="643" spans="2:12" ht="15" customHeight="1" x14ac:dyDescent="0.2">
      <c r="B643" s="250" t="s">
        <v>3713</v>
      </c>
      <c r="C643" s="250" t="s">
        <v>4099</v>
      </c>
      <c r="D643" s="250" t="s">
        <v>61</v>
      </c>
      <c r="K643" s="250">
        <v>0.55000000000000004</v>
      </c>
      <c r="L643" s="250">
        <v>52</v>
      </c>
    </row>
    <row r="644" spans="2:12" ht="15" customHeight="1" x14ac:dyDescent="0.2">
      <c r="B644" s="250" t="s">
        <v>3714</v>
      </c>
      <c r="C644" s="250" t="s">
        <v>3883</v>
      </c>
      <c r="D644" s="250" t="s">
        <v>61</v>
      </c>
      <c r="K644" s="250">
        <v>0.55000000000000004</v>
      </c>
      <c r="L644" s="250">
        <v>52</v>
      </c>
    </row>
    <row r="645" spans="2:12" ht="15" customHeight="1" x14ac:dyDescent="0.2">
      <c r="B645" s="250" t="s">
        <v>3715</v>
      </c>
      <c r="C645" s="250" t="s">
        <v>4073</v>
      </c>
      <c r="D645" s="250" t="s">
        <v>61</v>
      </c>
      <c r="K645" s="250">
        <v>0.55000000000000004</v>
      </c>
      <c r="L645" s="250">
        <v>52</v>
      </c>
    </row>
    <row r="646" spans="2:12" ht="15" customHeight="1" x14ac:dyDescent="0.2">
      <c r="B646" s="250" t="s">
        <v>3716</v>
      </c>
      <c r="C646" s="250" t="s">
        <v>4073</v>
      </c>
      <c r="D646" s="250" t="s">
        <v>61</v>
      </c>
      <c r="K646" s="250">
        <v>0.55000000000000004</v>
      </c>
      <c r="L646" s="250">
        <v>52</v>
      </c>
    </row>
    <row r="647" spans="2:12" ht="15" customHeight="1" x14ac:dyDescent="0.2">
      <c r="B647" s="250" t="s">
        <v>3717</v>
      </c>
      <c r="C647" s="250" t="s">
        <v>4099</v>
      </c>
      <c r="D647" s="250" t="s">
        <v>61</v>
      </c>
      <c r="K647" s="250">
        <v>0.55000000000000004</v>
      </c>
      <c r="L647" s="250">
        <v>52</v>
      </c>
    </row>
    <row r="648" spans="2:12" ht="15" customHeight="1" x14ac:dyDescent="0.2">
      <c r="B648" s="250" t="s">
        <v>3713</v>
      </c>
      <c r="C648" s="250" t="s">
        <v>3883</v>
      </c>
      <c r="D648" s="250" t="s">
        <v>61</v>
      </c>
      <c r="K648" s="250">
        <v>0.55000000000000004</v>
      </c>
      <c r="L648" s="250">
        <v>52</v>
      </c>
    </row>
    <row r="649" spans="2:12" ht="15" customHeight="1" x14ac:dyDescent="0.2">
      <c r="B649" s="250" t="s">
        <v>3718</v>
      </c>
      <c r="C649" s="250" t="s">
        <v>4099</v>
      </c>
      <c r="D649" s="250" t="s">
        <v>61</v>
      </c>
      <c r="K649" s="250">
        <v>0.55000000000000004</v>
      </c>
      <c r="L649" s="250">
        <v>52</v>
      </c>
    </row>
    <row r="650" spans="2:12" ht="15" customHeight="1" x14ac:dyDescent="0.2">
      <c r="B650" s="250" t="s">
        <v>3719</v>
      </c>
      <c r="C650" s="250" t="s">
        <v>4073</v>
      </c>
      <c r="D650" s="250" t="s">
        <v>61</v>
      </c>
      <c r="K650" s="250">
        <v>0.55000000000000004</v>
      </c>
      <c r="L650" s="250">
        <v>59</v>
      </c>
    </row>
    <row r="651" spans="2:12" ht="15" customHeight="1" x14ac:dyDescent="0.2">
      <c r="B651" s="250" t="s">
        <v>3720</v>
      </c>
      <c r="C651" s="250" t="s">
        <v>3883</v>
      </c>
      <c r="D651" s="250" t="s">
        <v>61</v>
      </c>
      <c r="K651" s="250">
        <v>0.55000000000000004</v>
      </c>
      <c r="L651" s="250">
        <v>59</v>
      </c>
    </row>
    <row r="652" spans="2:12" ht="15" customHeight="1" x14ac:dyDescent="0.2">
      <c r="B652" s="250" t="s">
        <v>3721</v>
      </c>
      <c r="C652" s="250" t="s">
        <v>4099</v>
      </c>
      <c r="D652" s="250" t="s">
        <v>61</v>
      </c>
      <c r="K652" s="250">
        <v>0.55000000000000004</v>
      </c>
      <c r="L652" s="250">
        <v>65</v>
      </c>
    </row>
    <row r="653" spans="2:12" ht="15" customHeight="1" x14ac:dyDescent="0.2">
      <c r="B653" s="250" t="s">
        <v>3722</v>
      </c>
      <c r="C653" s="250" t="s">
        <v>3883</v>
      </c>
      <c r="D653" s="250" t="s">
        <v>61</v>
      </c>
      <c r="K653" s="250">
        <v>0.55000000000000004</v>
      </c>
      <c r="L653" s="250">
        <v>76</v>
      </c>
    </row>
    <row r="654" spans="2:12" ht="15" customHeight="1" x14ac:dyDescent="0.2">
      <c r="B654" s="250" t="s">
        <v>3723</v>
      </c>
      <c r="C654" s="250" t="s">
        <v>3883</v>
      </c>
      <c r="D654" s="250" t="s">
        <v>61</v>
      </c>
      <c r="K654" s="250">
        <v>0.55000000000000004</v>
      </c>
      <c r="L654" s="250">
        <v>70</v>
      </c>
    </row>
    <row r="655" spans="2:12" ht="15" customHeight="1" x14ac:dyDescent="0.2">
      <c r="B655" s="250" t="s">
        <v>3724</v>
      </c>
      <c r="C655" s="250" t="s">
        <v>4073</v>
      </c>
      <c r="D655" s="250" t="s">
        <v>61</v>
      </c>
      <c r="K655" s="250">
        <v>0.55000000000000004</v>
      </c>
      <c r="L655" s="250">
        <v>70</v>
      </c>
    </row>
    <row r="656" spans="2:12" ht="15" customHeight="1" x14ac:dyDescent="0.2">
      <c r="B656" s="250" t="s">
        <v>3725</v>
      </c>
      <c r="C656" s="250" t="s">
        <v>4073</v>
      </c>
      <c r="D656" s="250" t="s">
        <v>61</v>
      </c>
      <c r="K656" s="250">
        <v>0.55000000000000004</v>
      </c>
      <c r="L656" s="250">
        <v>70</v>
      </c>
    </row>
    <row r="657" spans="2:12" ht="15" customHeight="1" x14ac:dyDescent="0.2">
      <c r="B657" s="250" t="s">
        <v>3726</v>
      </c>
      <c r="C657" s="250" t="s">
        <v>3883</v>
      </c>
      <c r="D657" s="250" t="s">
        <v>61</v>
      </c>
      <c r="K657" s="250">
        <v>0.55000000000000004</v>
      </c>
      <c r="L657" s="250">
        <v>82</v>
      </c>
    </row>
    <row r="658" spans="2:12" ht="15" customHeight="1" x14ac:dyDescent="0.2">
      <c r="B658" s="250" t="s">
        <v>3727</v>
      </c>
      <c r="C658" s="250" t="s">
        <v>4099</v>
      </c>
      <c r="D658" s="250" t="s">
        <v>61</v>
      </c>
      <c r="K658" s="250">
        <v>0.55000000000000004</v>
      </c>
      <c r="L658" s="250">
        <v>82</v>
      </c>
    </row>
    <row r="659" spans="2:12" ht="15" customHeight="1" x14ac:dyDescent="0.2">
      <c r="B659" s="250" t="s">
        <v>3728</v>
      </c>
      <c r="C659" s="250" t="s">
        <v>3883</v>
      </c>
      <c r="D659" s="250" t="s">
        <v>61</v>
      </c>
      <c r="K659" s="250">
        <v>0.55000000000000004</v>
      </c>
      <c r="L659" s="250">
        <v>94</v>
      </c>
    </row>
    <row r="660" spans="2:12" ht="15" customHeight="1" x14ac:dyDescent="0.2">
      <c r="B660" s="250" t="s">
        <v>3729</v>
      </c>
      <c r="C660" s="250" t="s">
        <v>4073</v>
      </c>
      <c r="D660" s="250" t="s">
        <v>61</v>
      </c>
      <c r="K660" s="250">
        <v>0.55000000000000004</v>
      </c>
      <c r="L660" s="250">
        <v>82</v>
      </c>
    </row>
    <row r="661" spans="2:12" ht="15" customHeight="1" x14ac:dyDescent="0.2">
      <c r="B661" s="250" t="s">
        <v>3730</v>
      </c>
      <c r="C661" s="250" t="s">
        <v>3883</v>
      </c>
      <c r="D661" s="250" t="s">
        <v>61</v>
      </c>
      <c r="K661" s="250">
        <v>0.55000000000000004</v>
      </c>
      <c r="L661" s="250">
        <v>82</v>
      </c>
    </row>
    <row r="662" spans="2:12" ht="15" customHeight="1" x14ac:dyDescent="0.2">
      <c r="B662" s="250" t="s">
        <v>3731</v>
      </c>
      <c r="C662" s="250" t="s">
        <v>3883</v>
      </c>
      <c r="D662" s="250" t="s">
        <v>61</v>
      </c>
      <c r="K662" s="250">
        <v>0.55000000000000004</v>
      </c>
      <c r="L662" s="250">
        <v>88</v>
      </c>
    </row>
    <row r="663" spans="2:12" ht="15" customHeight="1" x14ac:dyDescent="0.2">
      <c r="B663" s="250" t="s">
        <v>3732</v>
      </c>
      <c r="C663" s="250" t="s">
        <v>3883</v>
      </c>
      <c r="D663" s="250" t="s">
        <v>61</v>
      </c>
      <c r="K663" s="250">
        <v>0.55000000000000004</v>
      </c>
      <c r="L663" s="250">
        <v>88</v>
      </c>
    </row>
    <row r="664" spans="2:12" ht="15" customHeight="1" x14ac:dyDescent="0.2">
      <c r="B664" s="250" t="s">
        <v>3733</v>
      </c>
      <c r="C664" s="250" t="s">
        <v>4099</v>
      </c>
      <c r="D664" s="250" t="s">
        <v>61</v>
      </c>
      <c r="K664" s="250">
        <v>0.55000000000000004</v>
      </c>
      <c r="L664" s="250">
        <v>95</v>
      </c>
    </row>
    <row r="665" spans="2:12" ht="15" customHeight="1" x14ac:dyDescent="0.2">
      <c r="B665" s="250" t="s">
        <v>3734</v>
      </c>
      <c r="C665" s="250" t="s">
        <v>4099</v>
      </c>
      <c r="D665" s="250" t="s">
        <v>61</v>
      </c>
      <c r="K665" s="250">
        <v>0.55000000000000004</v>
      </c>
      <c r="L665" s="250">
        <v>108</v>
      </c>
    </row>
    <row r="666" spans="2:12" ht="15" customHeight="1" x14ac:dyDescent="0.2">
      <c r="B666" s="250" t="s">
        <v>3732</v>
      </c>
      <c r="C666" s="250" t="s">
        <v>3883</v>
      </c>
      <c r="D666" s="250" t="s">
        <v>61</v>
      </c>
      <c r="K666" s="250">
        <v>0.55000000000000004</v>
      </c>
      <c r="L666" s="250">
        <v>88</v>
      </c>
    </row>
    <row r="667" spans="2:12" ht="15" customHeight="1" x14ac:dyDescent="0.2">
      <c r="B667" s="250" t="s">
        <v>3735</v>
      </c>
      <c r="C667" s="250" t="s">
        <v>3883</v>
      </c>
      <c r="D667" s="250" t="s">
        <v>61</v>
      </c>
      <c r="K667" s="250">
        <v>0.55000000000000004</v>
      </c>
      <c r="L667" s="250">
        <v>106.8</v>
      </c>
    </row>
    <row r="668" spans="2:12" ht="15" customHeight="1" x14ac:dyDescent="0.2">
      <c r="B668" s="250" t="s">
        <v>3736</v>
      </c>
      <c r="C668" s="250" t="s">
        <v>3883</v>
      </c>
      <c r="D668" s="250" t="s">
        <v>61</v>
      </c>
      <c r="K668" s="250">
        <v>0.55000000000000004</v>
      </c>
      <c r="L668" s="250">
        <v>115.2</v>
      </c>
    </row>
    <row r="669" spans="2:12" ht="15" customHeight="1" x14ac:dyDescent="0.2">
      <c r="B669" s="250" t="s">
        <v>3737</v>
      </c>
      <c r="C669" s="250" t="s">
        <v>3883</v>
      </c>
      <c r="D669" s="250" t="s">
        <v>61</v>
      </c>
      <c r="K669" s="250">
        <v>0.55000000000000004</v>
      </c>
      <c r="L669" s="250">
        <v>119</v>
      </c>
    </row>
    <row r="670" spans="2:12" ht="15" customHeight="1" x14ac:dyDescent="0.2">
      <c r="B670" s="250" t="s">
        <v>3738</v>
      </c>
      <c r="C670" s="250" t="s">
        <v>4099</v>
      </c>
      <c r="D670" s="250" t="s">
        <v>61</v>
      </c>
      <c r="K670" s="250">
        <v>0.55000000000000004</v>
      </c>
      <c r="L670" s="250">
        <v>114</v>
      </c>
    </row>
    <row r="671" spans="2:12" ht="15" customHeight="1" x14ac:dyDescent="0.2">
      <c r="B671" s="250" t="s">
        <v>3739</v>
      </c>
      <c r="C671" s="250" t="s">
        <v>3883</v>
      </c>
      <c r="D671" s="250" t="s">
        <v>61</v>
      </c>
      <c r="K671" s="250">
        <v>0.55000000000000004</v>
      </c>
      <c r="L671" s="250">
        <v>118</v>
      </c>
    </row>
    <row r="672" spans="2:12" ht="15" customHeight="1" x14ac:dyDescent="0.2">
      <c r="B672" s="250" t="s">
        <v>3740</v>
      </c>
      <c r="C672" s="250" t="s">
        <v>3883</v>
      </c>
      <c r="D672" s="250" t="s">
        <v>61</v>
      </c>
      <c r="K672" s="250">
        <v>0.55000000000000004</v>
      </c>
      <c r="L672" s="250">
        <v>118</v>
      </c>
    </row>
    <row r="673" spans="2:12" ht="15" customHeight="1" x14ac:dyDescent="0.2">
      <c r="B673" s="250" t="s">
        <v>3741</v>
      </c>
      <c r="C673" s="250" t="s">
        <v>4073</v>
      </c>
      <c r="D673" s="250" t="s">
        <v>61</v>
      </c>
      <c r="K673" s="250">
        <v>0.55000000000000004</v>
      </c>
      <c r="L673" s="250">
        <v>174</v>
      </c>
    </row>
    <row r="674" spans="2:12" ht="15" customHeight="1" x14ac:dyDescent="0.2">
      <c r="B674" s="250" t="s">
        <v>3742</v>
      </c>
      <c r="C674" s="250" t="s">
        <v>4099</v>
      </c>
      <c r="D674" s="250" t="s">
        <v>61</v>
      </c>
      <c r="K674" s="250">
        <v>0.55000000000000004</v>
      </c>
      <c r="L674" s="250">
        <v>192</v>
      </c>
    </row>
    <row r="675" spans="2:12" ht="15" customHeight="1" x14ac:dyDescent="0.2">
      <c r="B675" s="250" t="s">
        <v>3743</v>
      </c>
      <c r="C675" s="250" t="s">
        <v>3883</v>
      </c>
      <c r="D675" s="250" t="s">
        <v>61</v>
      </c>
      <c r="K675" s="250">
        <v>0.55000000000000004</v>
      </c>
      <c r="L675" s="250">
        <v>223</v>
      </c>
    </row>
    <row r="676" spans="2:12" ht="15" customHeight="1" x14ac:dyDescent="0.2">
      <c r="B676" s="250" t="s">
        <v>3744</v>
      </c>
      <c r="C676" s="250" t="s">
        <v>4099</v>
      </c>
      <c r="D676" s="250" t="s">
        <v>61</v>
      </c>
      <c r="K676" s="250">
        <v>0.55000000000000004</v>
      </c>
      <c r="L676" s="250">
        <v>223</v>
      </c>
    </row>
    <row r="677" spans="2:12" ht="15" customHeight="1" x14ac:dyDescent="0.2">
      <c r="B677" s="250" t="s">
        <v>3745</v>
      </c>
      <c r="C677" s="250" t="s">
        <v>4073</v>
      </c>
      <c r="D677" s="250" t="s">
        <v>61</v>
      </c>
      <c r="K677" s="250">
        <v>0.55000000000000004</v>
      </c>
      <c r="L677" s="250">
        <v>228</v>
      </c>
    </row>
    <row r="678" spans="2:12" ht="15" customHeight="1" x14ac:dyDescent="0.2">
      <c r="B678" s="250" t="s">
        <v>3746</v>
      </c>
      <c r="C678" s="250" t="s">
        <v>4099</v>
      </c>
      <c r="D678" s="250" t="s">
        <v>61</v>
      </c>
      <c r="K678" s="250">
        <v>0.55000000000000004</v>
      </c>
      <c r="L678" s="250">
        <v>264</v>
      </c>
    </row>
    <row r="679" spans="2:12" ht="15" customHeight="1" x14ac:dyDescent="0.2">
      <c r="B679" s="250" t="s">
        <v>3747</v>
      </c>
      <c r="C679" s="250" t="s">
        <v>3883</v>
      </c>
      <c r="D679" s="250" t="s">
        <v>61</v>
      </c>
      <c r="K679" s="250">
        <v>0.55000000000000004</v>
      </c>
      <c r="L679" s="250">
        <v>98</v>
      </c>
    </row>
    <row r="680" spans="2:12" ht="15" customHeight="1" x14ac:dyDescent="0.2">
      <c r="B680" s="250" t="s">
        <v>3748</v>
      </c>
      <c r="C680" s="250" t="s">
        <v>4073</v>
      </c>
      <c r="D680" s="250" t="s">
        <v>61</v>
      </c>
      <c r="K680" s="250">
        <v>0.55000000000000004</v>
      </c>
      <c r="L680" s="250">
        <v>108</v>
      </c>
    </row>
    <row r="681" spans="2:12" ht="15" customHeight="1" x14ac:dyDescent="0.2">
      <c r="B681" s="250" t="s">
        <v>3749</v>
      </c>
      <c r="C681" s="250" t="s">
        <v>4099</v>
      </c>
      <c r="D681" s="250" t="s">
        <v>61</v>
      </c>
      <c r="K681" s="250">
        <v>0.55000000000000004</v>
      </c>
      <c r="L681" s="250">
        <v>108</v>
      </c>
    </row>
    <row r="682" spans="2:12" ht="15" customHeight="1" x14ac:dyDescent="0.2">
      <c r="B682" s="250" t="s">
        <v>3750</v>
      </c>
      <c r="C682" s="250" t="s">
        <v>3883</v>
      </c>
      <c r="D682" s="250" t="s">
        <v>61</v>
      </c>
      <c r="K682" s="250">
        <v>0.55000000000000004</v>
      </c>
      <c r="L682" s="250">
        <v>117</v>
      </c>
    </row>
    <row r="683" spans="2:12" ht="15" customHeight="1" x14ac:dyDescent="0.2">
      <c r="B683" s="250" t="s">
        <v>3751</v>
      </c>
      <c r="C683" s="250" t="s">
        <v>4099</v>
      </c>
      <c r="D683" s="250" t="s">
        <v>61</v>
      </c>
      <c r="K683" s="250">
        <v>0.55000000000000004</v>
      </c>
      <c r="L683" s="250">
        <v>119</v>
      </c>
    </row>
    <row r="684" spans="2:12" ht="15" customHeight="1" x14ac:dyDescent="0.2">
      <c r="B684" s="250" t="s">
        <v>3752</v>
      </c>
      <c r="C684" s="250" t="s">
        <v>4073</v>
      </c>
      <c r="D684" s="250" t="s">
        <v>61</v>
      </c>
      <c r="K684" s="250">
        <v>0.55000000000000004</v>
      </c>
      <c r="L684" s="250">
        <v>127.5</v>
      </c>
    </row>
    <row r="685" spans="2:12" ht="15" customHeight="1" x14ac:dyDescent="0.2">
      <c r="B685" s="250" t="s">
        <v>3753</v>
      </c>
      <c r="C685" s="250" t="s">
        <v>3883</v>
      </c>
      <c r="D685" s="250" t="s">
        <v>61</v>
      </c>
      <c r="K685" s="250">
        <v>0.55000000000000004</v>
      </c>
      <c r="L685" s="250">
        <v>155.5</v>
      </c>
    </row>
    <row r="686" spans="2:12" ht="15" customHeight="1" x14ac:dyDescent="0.2">
      <c r="B686" s="250" t="s">
        <v>3754</v>
      </c>
      <c r="C686" s="250" t="s">
        <v>4073</v>
      </c>
      <c r="D686" s="250" t="s">
        <v>61</v>
      </c>
      <c r="K686" s="250">
        <v>0.55000000000000004</v>
      </c>
      <c r="L686" s="250">
        <v>158</v>
      </c>
    </row>
    <row r="687" spans="2:12" ht="15" customHeight="1" x14ac:dyDescent="0.2">
      <c r="B687" s="250" t="s">
        <v>3755</v>
      </c>
      <c r="C687" s="250" t="s">
        <v>4073</v>
      </c>
      <c r="D687" s="250" t="s">
        <v>61</v>
      </c>
      <c r="K687" s="250">
        <v>0.55000000000000004</v>
      </c>
      <c r="L687" s="250">
        <v>142.5</v>
      </c>
    </row>
    <row r="688" spans="2:12" ht="15" customHeight="1" x14ac:dyDescent="0.2">
      <c r="B688" s="250" t="s">
        <v>3756</v>
      </c>
      <c r="C688" s="250" t="s">
        <v>3883</v>
      </c>
      <c r="D688" s="250" t="s">
        <v>61</v>
      </c>
      <c r="K688" s="250">
        <v>0.55000000000000004</v>
      </c>
      <c r="L688" s="250">
        <v>157.5</v>
      </c>
    </row>
    <row r="689" spans="2:12" ht="15" customHeight="1" x14ac:dyDescent="0.2">
      <c r="B689" s="250" t="s">
        <v>3757</v>
      </c>
      <c r="C689" s="250" t="s">
        <v>4073</v>
      </c>
      <c r="D689" s="250" t="s">
        <v>61</v>
      </c>
      <c r="K689" s="250">
        <v>0.55000000000000004</v>
      </c>
      <c r="L689" s="250">
        <v>172.5</v>
      </c>
    </row>
    <row r="690" spans="2:12" ht="15" customHeight="1" x14ac:dyDescent="0.2">
      <c r="B690" s="250" t="s">
        <v>3758</v>
      </c>
      <c r="C690" s="250" t="s">
        <v>4099</v>
      </c>
      <c r="D690" s="250" t="s">
        <v>61</v>
      </c>
      <c r="K690" s="250">
        <v>0.55000000000000004</v>
      </c>
      <c r="L690" s="250">
        <v>189</v>
      </c>
    </row>
    <row r="691" spans="2:12" ht="15" customHeight="1" x14ac:dyDescent="0.2">
      <c r="B691" s="250" t="s">
        <v>3759</v>
      </c>
      <c r="C691" s="250" t="s">
        <v>3883</v>
      </c>
      <c r="D691" s="250" t="s">
        <v>61</v>
      </c>
      <c r="K691" s="250">
        <v>0.55000000000000004</v>
      </c>
      <c r="L691" s="250">
        <v>161</v>
      </c>
    </row>
    <row r="692" spans="2:12" ht="15" customHeight="1" x14ac:dyDescent="0.2">
      <c r="B692" s="250" t="s">
        <v>3760</v>
      </c>
      <c r="C692" s="250" t="s">
        <v>3883</v>
      </c>
      <c r="D692" s="250" t="s">
        <v>61</v>
      </c>
      <c r="K692" s="250">
        <v>0.55000000000000004</v>
      </c>
      <c r="L692" s="250">
        <v>162</v>
      </c>
    </row>
    <row r="693" spans="2:12" ht="15" customHeight="1" x14ac:dyDescent="0.2">
      <c r="B693" s="250" t="s">
        <v>3761</v>
      </c>
      <c r="C693" s="250" t="s">
        <v>3883</v>
      </c>
      <c r="D693" s="250" t="s">
        <v>61</v>
      </c>
      <c r="K693" s="250">
        <v>0.55000000000000004</v>
      </c>
      <c r="L693" s="250">
        <v>177</v>
      </c>
    </row>
    <row r="694" spans="2:12" ht="15" customHeight="1" x14ac:dyDescent="0.2">
      <c r="B694" s="250" t="s">
        <v>3762</v>
      </c>
      <c r="C694" s="250" t="s">
        <v>3883</v>
      </c>
      <c r="D694" s="250" t="s">
        <v>61</v>
      </c>
      <c r="K694" s="250">
        <v>0.55000000000000004</v>
      </c>
      <c r="L694" s="250">
        <v>180</v>
      </c>
    </row>
    <row r="695" spans="2:12" ht="15" customHeight="1" x14ac:dyDescent="0.2">
      <c r="B695" s="250" t="s">
        <v>3763</v>
      </c>
      <c r="C695" s="250" t="s">
        <v>4073</v>
      </c>
      <c r="D695" s="250" t="s">
        <v>61</v>
      </c>
      <c r="K695" s="250">
        <v>0.55000000000000004</v>
      </c>
      <c r="L695" s="250">
        <v>248</v>
      </c>
    </row>
    <row r="696" spans="2:12" ht="15" customHeight="1" x14ac:dyDescent="0.2">
      <c r="B696" s="250" t="s">
        <v>3764</v>
      </c>
      <c r="C696" s="250" t="s">
        <v>3883</v>
      </c>
      <c r="D696" s="250" t="s">
        <v>61</v>
      </c>
      <c r="K696" s="250">
        <v>0.55000000000000004</v>
      </c>
      <c r="L696" s="250">
        <v>162</v>
      </c>
    </row>
    <row r="697" spans="2:12" ht="15" customHeight="1" x14ac:dyDescent="0.2">
      <c r="B697" s="250" t="s">
        <v>3765</v>
      </c>
      <c r="C697" s="250" t="s">
        <v>4099</v>
      </c>
      <c r="D697" s="250" t="s">
        <v>61</v>
      </c>
      <c r="K697" s="250">
        <v>0.55000000000000004</v>
      </c>
      <c r="L697" s="250">
        <v>178.5</v>
      </c>
    </row>
    <row r="698" spans="2:12" ht="15" customHeight="1" x14ac:dyDescent="0.2">
      <c r="B698" s="250" t="s">
        <v>3766</v>
      </c>
      <c r="C698" s="250" t="s">
        <v>4099</v>
      </c>
      <c r="D698" s="250" t="s">
        <v>61</v>
      </c>
      <c r="K698" s="250">
        <v>0.55000000000000004</v>
      </c>
      <c r="L698" s="250">
        <v>207</v>
      </c>
    </row>
    <row r="699" spans="2:12" ht="15" customHeight="1" x14ac:dyDescent="0.2">
      <c r="B699" s="250" t="s">
        <v>3767</v>
      </c>
      <c r="C699" s="250" t="s">
        <v>3883</v>
      </c>
      <c r="D699" s="250" t="s">
        <v>61</v>
      </c>
      <c r="K699" s="250">
        <v>0.55000000000000004</v>
      </c>
      <c r="L699" s="250">
        <v>261</v>
      </c>
    </row>
    <row r="700" spans="2:12" ht="15" customHeight="1" x14ac:dyDescent="0.2">
      <c r="B700" s="250" t="s">
        <v>3768</v>
      </c>
      <c r="C700" s="250" t="s">
        <v>4099</v>
      </c>
      <c r="D700" s="250" t="s">
        <v>61</v>
      </c>
      <c r="K700" s="250">
        <v>0.55000000000000004</v>
      </c>
      <c r="L700" s="250">
        <v>288</v>
      </c>
    </row>
    <row r="701" spans="2:12" ht="15" customHeight="1" x14ac:dyDescent="0.2">
      <c r="B701" s="250" t="s">
        <v>3769</v>
      </c>
      <c r="C701" s="250" t="s">
        <v>3883</v>
      </c>
      <c r="D701" s="250" t="s">
        <v>61</v>
      </c>
      <c r="K701" s="250">
        <v>0.55000000000000004</v>
      </c>
      <c r="L701" s="250">
        <v>360</v>
      </c>
    </row>
    <row r="702" spans="2:12" ht="15" customHeight="1" x14ac:dyDescent="0.2">
      <c r="B702" s="250" t="s">
        <v>3770</v>
      </c>
      <c r="C702" s="250" t="s">
        <v>4099</v>
      </c>
      <c r="D702" s="250" t="s">
        <v>61</v>
      </c>
      <c r="K702" s="250">
        <v>0.55000000000000004</v>
      </c>
      <c r="L702" s="250">
        <v>631.79999999999995</v>
      </c>
    </row>
    <row r="703" spans="2:12" ht="15" customHeight="1" x14ac:dyDescent="0.2">
      <c r="B703" s="250" t="s">
        <v>3771</v>
      </c>
      <c r="C703" s="250" t="s">
        <v>4073</v>
      </c>
      <c r="D703" s="250" t="s">
        <v>61</v>
      </c>
      <c r="K703" s="250">
        <v>0.55000000000000004</v>
      </c>
      <c r="L703" s="250">
        <v>631.79999999999995</v>
      </c>
    </row>
    <row r="704" spans="2:12" ht="15" customHeight="1" x14ac:dyDescent="0.2">
      <c r="B704" s="250" t="s">
        <v>3772</v>
      </c>
      <c r="C704" s="250" t="s">
        <v>4073</v>
      </c>
      <c r="D704" s="250" t="s">
        <v>61</v>
      </c>
      <c r="K704" s="250">
        <v>0.55000000000000004</v>
      </c>
      <c r="L704" s="250">
        <v>719</v>
      </c>
    </row>
    <row r="705" spans="2:12" ht="15" customHeight="1" x14ac:dyDescent="0.2">
      <c r="B705" s="250" t="s">
        <v>184</v>
      </c>
      <c r="C705" s="250" t="s">
        <v>4073</v>
      </c>
      <c r="D705" s="250" t="s">
        <v>85</v>
      </c>
      <c r="K705" s="250">
        <v>0.55000000000000004</v>
      </c>
      <c r="L705" s="250">
        <v>18</v>
      </c>
    </row>
    <row r="706" spans="2:12" ht="15" customHeight="1" x14ac:dyDescent="0.2">
      <c r="B706" s="250" t="s">
        <v>4108</v>
      </c>
      <c r="C706" s="250" t="s">
        <v>3883</v>
      </c>
      <c r="D706" s="250" t="s">
        <v>64</v>
      </c>
      <c r="K706" s="250">
        <v>0.55000000000000004</v>
      </c>
      <c r="L706" s="250">
        <v>5</v>
      </c>
    </row>
    <row r="707" spans="2:12" ht="15" customHeight="1" x14ac:dyDescent="0.2">
      <c r="B707" s="250" t="s">
        <v>3669</v>
      </c>
      <c r="C707" s="250" t="s">
        <v>4073</v>
      </c>
      <c r="D707" s="250" t="s">
        <v>64</v>
      </c>
      <c r="K707" s="250">
        <v>0.55000000000000004</v>
      </c>
      <c r="L707" s="250">
        <v>10.5</v>
      </c>
    </row>
    <row r="708" spans="2:12" ht="15" customHeight="1" x14ac:dyDescent="0.2">
      <c r="B708" s="250" t="s">
        <v>3670</v>
      </c>
      <c r="C708" s="250" t="s">
        <v>4073</v>
      </c>
      <c r="D708" s="250" t="s">
        <v>64</v>
      </c>
      <c r="K708" s="250">
        <v>0.55000000000000004</v>
      </c>
      <c r="L708" s="250">
        <v>16</v>
      </c>
    </row>
    <row r="709" spans="2:12" ht="15" customHeight="1" x14ac:dyDescent="0.2">
      <c r="B709" s="250" t="s">
        <v>3671</v>
      </c>
      <c r="C709" s="250" t="s">
        <v>3883</v>
      </c>
      <c r="D709" s="250" t="s">
        <v>64</v>
      </c>
      <c r="K709" s="250">
        <v>0.55000000000000004</v>
      </c>
      <c r="L709" s="250">
        <v>21.5</v>
      </c>
    </row>
    <row r="710" spans="2:12" ht="15" customHeight="1" x14ac:dyDescent="0.2">
      <c r="B710" s="250" t="s">
        <v>4109</v>
      </c>
      <c r="C710" s="250" t="s">
        <v>3883</v>
      </c>
      <c r="D710" s="250" t="s">
        <v>64</v>
      </c>
      <c r="K710" s="250">
        <v>0.55000000000000004</v>
      </c>
      <c r="L710" s="250">
        <v>10.5</v>
      </c>
    </row>
    <row r="711" spans="2:12" ht="15" customHeight="1" x14ac:dyDescent="0.2">
      <c r="B711" s="250" t="s">
        <v>3672</v>
      </c>
      <c r="C711" s="250" t="s">
        <v>4099</v>
      </c>
      <c r="D711" s="250" t="s">
        <v>64</v>
      </c>
      <c r="K711" s="250">
        <v>0.55000000000000004</v>
      </c>
      <c r="L711" s="250">
        <v>21.5</v>
      </c>
    </row>
    <row r="712" spans="2:12" ht="15" customHeight="1" x14ac:dyDescent="0.2">
      <c r="B712" s="250" t="s">
        <v>3673</v>
      </c>
      <c r="C712" s="250" t="s">
        <v>4073</v>
      </c>
      <c r="D712" s="250" t="s">
        <v>64</v>
      </c>
      <c r="K712" s="250">
        <v>0.55000000000000004</v>
      </c>
      <c r="L712" s="250">
        <v>32.5</v>
      </c>
    </row>
    <row r="713" spans="2:12" ht="15" customHeight="1" x14ac:dyDescent="0.2">
      <c r="B713" s="250" t="s">
        <v>3674</v>
      </c>
      <c r="C713" s="250" t="s">
        <v>3883</v>
      </c>
      <c r="D713" s="250" t="s">
        <v>64</v>
      </c>
      <c r="K713" s="250">
        <v>0.55000000000000004</v>
      </c>
      <c r="L713" s="250">
        <v>43.5</v>
      </c>
    </row>
    <row r="714" spans="2:12" ht="15" customHeight="1" x14ac:dyDescent="0.2">
      <c r="B714" s="250" t="s">
        <v>4110</v>
      </c>
      <c r="C714" s="250" t="s">
        <v>3883</v>
      </c>
      <c r="D714" s="250" t="s">
        <v>64</v>
      </c>
      <c r="K714" s="250">
        <v>0.55000000000000004</v>
      </c>
      <c r="L714" s="250">
        <v>45.5</v>
      </c>
    </row>
    <row r="715" spans="2:12" ht="15" customHeight="1" x14ac:dyDescent="0.2">
      <c r="B715" s="250" t="s">
        <v>4111</v>
      </c>
      <c r="C715" s="250" t="s">
        <v>3883</v>
      </c>
      <c r="D715" s="250" t="s">
        <v>64</v>
      </c>
      <c r="K715" s="250">
        <v>0.55000000000000004</v>
      </c>
      <c r="L715" s="250">
        <v>55</v>
      </c>
    </row>
    <row r="716" spans="2:12" ht="15" customHeight="1" x14ac:dyDescent="0.2">
      <c r="B716" s="250" t="s">
        <v>4112</v>
      </c>
      <c r="C716" s="250" t="s">
        <v>4073</v>
      </c>
      <c r="D716" s="250" t="s">
        <v>64</v>
      </c>
      <c r="K716" s="250">
        <v>0.55000000000000004</v>
      </c>
      <c r="L716" s="250">
        <f>55+32.5</f>
        <v>87.5</v>
      </c>
    </row>
    <row r="717" spans="2:12" ht="15" customHeight="1" x14ac:dyDescent="0.2">
      <c r="B717" s="250" t="s">
        <v>4113</v>
      </c>
      <c r="C717" s="250" t="s">
        <v>4073</v>
      </c>
      <c r="D717" s="250" t="s">
        <v>64</v>
      </c>
      <c r="K717" s="250">
        <v>0.55000000000000004</v>
      </c>
      <c r="L717" s="250">
        <f>79+41</f>
        <v>120</v>
      </c>
    </row>
    <row r="718" spans="2:12" ht="15" customHeight="1" x14ac:dyDescent="0.2">
      <c r="B718" s="250" t="s">
        <v>35</v>
      </c>
      <c r="C718" s="250" t="s">
        <v>3883</v>
      </c>
      <c r="D718" s="250" t="s">
        <v>69</v>
      </c>
      <c r="K718" s="250">
        <v>0.55000000000000004</v>
      </c>
      <c r="L718" s="250">
        <v>4.2</v>
      </c>
    </row>
    <row r="719" spans="2:12" ht="15" customHeight="1" x14ac:dyDescent="0.2">
      <c r="B719" s="250" t="s">
        <v>4114</v>
      </c>
      <c r="C719" s="250" t="s">
        <v>3883</v>
      </c>
      <c r="D719" s="250" t="s">
        <v>1770</v>
      </c>
      <c r="K719" s="250">
        <v>0.55000000000000004</v>
      </c>
      <c r="L719" s="250">
        <v>6.5</v>
      </c>
    </row>
    <row r="720" spans="2:12" ht="15" customHeight="1" x14ac:dyDescent="0.2">
      <c r="B720" s="250" t="s">
        <v>3892</v>
      </c>
      <c r="C720" s="250" t="s">
        <v>3883</v>
      </c>
      <c r="D720" s="250" t="s">
        <v>1770</v>
      </c>
      <c r="K720" s="250">
        <v>0.55000000000000004</v>
      </c>
      <c r="L720" s="250">
        <v>7.6</v>
      </c>
    </row>
    <row r="721" spans="2:12" ht="15" customHeight="1" x14ac:dyDescent="0.2">
      <c r="B721" s="250" t="s">
        <v>3893</v>
      </c>
      <c r="C721" s="250" t="s">
        <v>3883</v>
      </c>
      <c r="D721" s="250" t="s">
        <v>1770</v>
      </c>
      <c r="K721" s="250">
        <v>0.55000000000000004</v>
      </c>
      <c r="L721" s="250">
        <v>8.8000000000000007</v>
      </c>
    </row>
    <row r="722" spans="2:12" ht="15" customHeight="1" x14ac:dyDescent="0.2">
      <c r="B722" s="250" t="s">
        <v>1771</v>
      </c>
      <c r="C722" s="250" t="s">
        <v>4073</v>
      </c>
      <c r="D722" s="250" t="s">
        <v>693</v>
      </c>
      <c r="K722" s="250">
        <v>0.55000000000000004</v>
      </c>
      <c r="L722" s="250">
        <v>27</v>
      </c>
    </row>
    <row r="723" spans="2:12" ht="15" customHeight="1" x14ac:dyDescent="0.2">
      <c r="B723" s="250" t="s">
        <v>1772</v>
      </c>
      <c r="C723" s="250" t="s">
        <v>3883</v>
      </c>
      <c r="D723" s="250" t="s">
        <v>693</v>
      </c>
      <c r="K723" s="250">
        <v>0.55000000000000004</v>
      </c>
      <c r="L723" s="250">
        <v>34</v>
      </c>
    </row>
    <row r="724" spans="2:12" ht="15" customHeight="1" x14ac:dyDescent="0.2">
      <c r="B724" s="250" t="s">
        <v>1774</v>
      </c>
      <c r="C724" s="250" t="s">
        <v>4099</v>
      </c>
      <c r="D724" s="250" t="s">
        <v>1773</v>
      </c>
      <c r="K724" s="250">
        <v>0.55000000000000004</v>
      </c>
      <c r="L724" s="250">
        <v>12</v>
      </c>
    </row>
    <row r="725" spans="2:12" ht="15" customHeight="1" x14ac:dyDescent="0.2">
      <c r="B725" s="250" t="s">
        <v>1775</v>
      </c>
      <c r="C725" s="250" t="s">
        <v>3883</v>
      </c>
      <c r="D725" s="250" t="s">
        <v>1773</v>
      </c>
      <c r="K725" s="250">
        <v>0.55000000000000004</v>
      </c>
      <c r="L725" s="250">
        <v>15.6</v>
      </c>
    </row>
    <row r="726" spans="2:12" ht="15" customHeight="1" x14ac:dyDescent="0.2">
      <c r="B726" s="250" t="s">
        <v>1776</v>
      </c>
      <c r="C726" s="250" t="s">
        <v>4099</v>
      </c>
      <c r="D726" s="250" t="s">
        <v>1777</v>
      </c>
      <c r="K726" s="250">
        <v>0.55000000000000004</v>
      </c>
      <c r="L726" s="250">
        <v>31</v>
      </c>
    </row>
    <row r="727" spans="2:12" ht="15" customHeight="1" x14ac:dyDescent="0.2">
      <c r="B727" s="250" t="s">
        <v>1778</v>
      </c>
      <c r="C727" s="250" t="s">
        <v>4099</v>
      </c>
      <c r="D727" s="250" t="s">
        <v>1777</v>
      </c>
      <c r="K727" s="250">
        <v>0.55000000000000004</v>
      </c>
      <c r="L727" s="250">
        <v>31</v>
      </c>
    </row>
    <row r="728" spans="2:12" ht="15" customHeight="1" x14ac:dyDescent="0.2">
      <c r="B728" s="250" t="s">
        <v>1779</v>
      </c>
      <c r="C728" s="250" t="s">
        <v>4073</v>
      </c>
      <c r="D728" s="250" t="s">
        <v>1777</v>
      </c>
      <c r="K728" s="250">
        <v>0.55000000000000004</v>
      </c>
      <c r="L728" s="250">
        <v>42</v>
      </c>
    </row>
    <row r="729" spans="2:12" ht="15" customHeight="1" x14ac:dyDescent="0.2">
      <c r="B729" s="250" t="s">
        <v>1780</v>
      </c>
      <c r="C729" s="250" t="s">
        <v>3883</v>
      </c>
      <c r="D729" s="250" t="s">
        <v>1777</v>
      </c>
      <c r="K729" s="250">
        <v>0.55000000000000004</v>
      </c>
      <c r="L729" s="250">
        <v>59</v>
      </c>
    </row>
    <row r="730" spans="2:12" ht="15" customHeight="1" x14ac:dyDescent="0.2">
      <c r="B730" s="250" t="s">
        <v>1781</v>
      </c>
      <c r="C730" s="250" t="s">
        <v>4073</v>
      </c>
      <c r="D730" s="250" t="s">
        <v>1777</v>
      </c>
      <c r="K730" s="250">
        <v>0.55000000000000004</v>
      </c>
      <c r="L730" s="250">
        <v>74</v>
      </c>
    </row>
    <row r="731" spans="2:12" ht="15" customHeight="1" x14ac:dyDescent="0.2">
      <c r="B731" s="250" t="s">
        <v>1782</v>
      </c>
      <c r="C731" s="250" t="s">
        <v>3883</v>
      </c>
      <c r="D731" s="250" t="s">
        <v>1777</v>
      </c>
      <c r="K731" s="250">
        <v>0.55000000000000004</v>
      </c>
      <c r="L731" s="250">
        <v>122</v>
      </c>
    </row>
    <row r="732" spans="2:12" ht="15" customHeight="1" x14ac:dyDescent="0.2">
      <c r="B732" s="250" t="s">
        <v>1783</v>
      </c>
      <c r="C732" s="250" t="s">
        <v>4073</v>
      </c>
      <c r="D732" s="250" t="s">
        <v>1777</v>
      </c>
      <c r="K732" s="250">
        <v>0.55000000000000004</v>
      </c>
      <c r="L732" s="250">
        <v>126</v>
      </c>
    </row>
    <row r="733" spans="2:12" ht="15" customHeight="1" x14ac:dyDescent="0.2">
      <c r="B733" s="250" t="s">
        <v>1784</v>
      </c>
      <c r="C733" s="250" t="s">
        <v>4099</v>
      </c>
      <c r="D733" s="250" t="s">
        <v>1777</v>
      </c>
      <c r="K733" s="250">
        <v>0.55000000000000004</v>
      </c>
      <c r="L733" s="250">
        <v>137</v>
      </c>
    </row>
    <row r="734" spans="2:12" ht="15" customHeight="1" x14ac:dyDescent="0.2">
      <c r="B734" s="250" t="s">
        <v>1785</v>
      </c>
      <c r="C734" s="250" t="s">
        <v>3883</v>
      </c>
      <c r="D734" s="250" t="s">
        <v>1777</v>
      </c>
      <c r="K734" s="250">
        <v>0.55000000000000004</v>
      </c>
      <c r="L734" s="250">
        <v>184</v>
      </c>
    </row>
    <row r="735" spans="2:12" ht="15" customHeight="1" x14ac:dyDescent="0.2">
      <c r="B735" s="250" t="s">
        <v>1786</v>
      </c>
      <c r="C735" s="250" t="s">
        <v>3883</v>
      </c>
      <c r="D735" s="250" t="s">
        <v>1777</v>
      </c>
      <c r="K735" s="250">
        <v>0.55000000000000004</v>
      </c>
      <c r="L735" s="250">
        <v>184</v>
      </c>
    </row>
    <row r="736" spans="2:12" ht="15" customHeight="1" x14ac:dyDescent="0.2">
      <c r="B736" s="250" t="s">
        <v>4115</v>
      </c>
      <c r="C736" s="250" t="s">
        <v>4073</v>
      </c>
      <c r="D736" s="250" t="s">
        <v>1777</v>
      </c>
      <c r="K736" s="250">
        <v>0.55000000000000004</v>
      </c>
      <c r="L736" s="250">
        <v>254</v>
      </c>
    </row>
    <row r="737" spans="2:12" ht="15" customHeight="1" x14ac:dyDescent="0.2">
      <c r="B737" s="250" t="s">
        <v>4116</v>
      </c>
      <c r="C737" s="250" t="s">
        <v>3883</v>
      </c>
      <c r="D737" s="250" t="s">
        <v>1777</v>
      </c>
      <c r="K737" s="250">
        <v>0.55000000000000004</v>
      </c>
      <c r="L737" s="250">
        <v>372</v>
      </c>
    </row>
    <row r="738" spans="2:12" ht="15" customHeight="1" x14ac:dyDescent="0.2">
      <c r="B738" s="250" t="s">
        <v>4117</v>
      </c>
      <c r="C738" s="250" t="s">
        <v>4073</v>
      </c>
      <c r="D738" s="250" t="s">
        <v>1777</v>
      </c>
      <c r="K738" s="250">
        <v>0.55000000000000004</v>
      </c>
      <c r="L738" s="250">
        <v>770</v>
      </c>
    </row>
    <row r="739" spans="2:12" ht="15" customHeight="1" x14ac:dyDescent="0.2">
      <c r="B739" s="250" t="s">
        <v>3894</v>
      </c>
      <c r="C739" s="250" t="s">
        <v>4073</v>
      </c>
      <c r="D739" s="250" t="s">
        <v>1777</v>
      </c>
      <c r="K739" s="250">
        <v>0.55000000000000004</v>
      </c>
      <c r="L739" s="250">
        <v>868</v>
      </c>
    </row>
    <row r="740" spans="2:12" ht="15" customHeight="1" x14ac:dyDescent="0.2">
      <c r="B740" s="250" t="s">
        <v>3895</v>
      </c>
      <c r="C740" s="250" t="s">
        <v>4099</v>
      </c>
      <c r="D740" s="250" t="s">
        <v>1777</v>
      </c>
      <c r="K740" s="250">
        <v>0.55000000000000004</v>
      </c>
      <c r="L740" s="250">
        <v>1820</v>
      </c>
    </row>
    <row r="741" spans="2:12" ht="15" customHeight="1" x14ac:dyDescent="0.2">
      <c r="B741" s="250" t="s">
        <v>4118</v>
      </c>
      <c r="C741" s="250" t="s">
        <v>4073</v>
      </c>
      <c r="D741" s="250" t="s">
        <v>1483</v>
      </c>
      <c r="K741" s="250">
        <v>0.55000000000000004</v>
      </c>
      <c r="L741" s="250">
        <v>81</v>
      </c>
    </row>
    <row r="742" spans="2:12" ht="15" customHeight="1" x14ac:dyDescent="0.2">
      <c r="B742" s="250" t="s">
        <v>4119</v>
      </c>
      <c r="C742" s="250" t="s">
        <v>3883</v>
      </c>
      <c r="D742" s="250" t="s">
        <v>1483</v>
      </c>
      <c r="K742" s="250">
        <v>0.55000000000000004</v>
      </c>
      <c r="L742" s="250">
        <v>96</v>
      </c>
    </row>
    <row r="743" spans="2:12" ht="15" customHeight="1" x14ac:dyDescent="0.2">
      <c r="B743" s="250" t="s">
        <v>4120</v>
      </c>
      <c r="C743" s="250" t="s">
        <v>3883</v>
      </c>
      <c r="D743" s="250" t="s">
        <v>1483</v>
      </c>
      <c r="K743" s="250">
        <v>0.55000000000000004</v>
      </c>
      <c r="L743" s="250">
        <v>112</v>
      </c>
    </row>
    <row r="744" spans="2:12" ht="15" customHeight="1" x14ac:dyDescent="0.2">
      <c r="B744" s="250" t="s">
        <v>4121</v>
      </c>
      <c r="C744" s="250" t="s">
        <v>4099</v>
      </c>
      <c r="D744" s="250" t="s">
        <v>1483</v>
      </c>
      <c r="K744" s="250">
        <v>0.55000000000000004</v>
      </c>
      <c r="L744" s="250">
        <v>170</v>
      </c>
    </row>
    <row r="745" spans="2:12" ht="15" customHeight="1" x14ac:dyDescent="0.2">
      <c r="B745" s="250" t="s">
        <v>3896</v>
      </c>
      <c r="C745" s="250" t="s">
        <v>4099</v>
      </c>
      <c r="D745" s="250" t="s">
        <v>1483</v>
      </c>
      <c r="K745" s="250">
        <v>0.55000000000000004</v>
      </c>
      <c r="L745" s="250">
        <v>235</v>
      </c>
    </row>
    <row r="746" spans="2:12" ht="15" customHeight="1" x14ac:dyDescent="0.2">
      <c r="B746" s="250" t="s">
        <v>1787</v>
      </c>
      <c r="C746" s="250" t="s">
        <v>3883</v>
      </c>
      <c r="D746" s="250" t="s">
        <v>1788</v>
      </c>
      <c r="K746" s="250">
        <v>0.55000000000000004</v>
      </c>
      <c r="L746" s="250">
        <v>25</v>
      </c>
    </row>
    <row r="747" spans="2:12" ht="15" customHeight="1" x14ac:dyDescent="0.2">
      <c r="B747" s="250" t="s">
        <v>1789</v>
      </c>
      <c r="C747" s="250" t="s">
        <v>4073</v>
      </c>
      <c r="D747" s="250" t="s">
        <v>1788</v>
      </c>
      <c r="K747" s="250">
        <v>0.55000000000000004</v>
      </c>
      <c r="L747" s="250">
        <v>25</v>
      </c>
    </row>
    <row r="748" spans="2:12" ht="15" customHeight="1" x14ac:dyDescent="0.2">
      <c r="B748" s="250" t="s">
        <v>1790</v>
      </c>
      <c r="C748" s="250" t="s">
        <v>4099</v>
      </c>
      <c r="D748" s="250" t="s">
        <v>1788</v>
      </c>
      <c r="K748" s="250">
        <v>0.55000000000000004</v>
      </c>
      <c r="L748" s="250">
        <v>25</v>
      </c>
    </row>
    <row r="749" spans="2:12" ht="15" customHeight="1" x14ac:dyDescent="0.2">
      <c r="B749" s="250" t="s">
        <v>1791</v>
      </c>
      <c r="C749" s="250" t="s">
        <v>3883</v>
      </c>
      <c r="D749" s="250" t="s">
        <v>1788</v>
      </c>
      <c r="K749" s="250">
        <v>0.55000000000000004</v>
      </c>
      <c r="L749" s="250">
        <v>25</v>
      </c>
    </row>
    <row r="750" spans="2:12" ht="15" customHeight="1" x14ac:dyDescent="0.2">
      <c r="B750" s="250" t="s">
        <v>1792</v>
      </c>
      <c r="C750" s="250" t="s">
        <v>4099</v>
      </c>
      <c r="D750" s="250" t="s">
        <v>1788</v>
      </c>
      <c r="K750" s="250">
        <v>0.55000000000000004</v>
      </c>
      <c r="L750" s="250">
        <v>54</v>
      </c>
    </row>
    <row r="751" spans="2:12" ht="15" customHeight="1" x14ac:dyDescent="0.2">
      <c r="B751" s="250" t="s">
        <v>1793</v>
      </c>
      <c r="C751" s="250" t="s">
        <v>4073</v>
      </c>
      <c r="D751" s="250" t="s">
        <v>1788</v>
      </c>
      <c r="K751" s="250">
        <v>0.55000000000000004</v>
      </c>
      <c r="L751" s="250">
        <v>60</v>
      </c>
    </row>
    <row r="752" spans="2:12" ht="15" customHeight="1" x14ac:dyDescent="0.2">
      <c r="B752" s="250" t="s">
        <v>1794</v>
      </c>
      <c r="C752" s="250" t="s">
        <v>3883</v>
      </c>
      <c r="D752" s="250" t="s">
        <v>1788</v>
      </c>
      <c r="K752" s="250">
        <v>0.55000000000000004</v>
      </c>
      <c r="L752" s="250">
        <v>64</v>
      </c>
    </row>
    <row r="753" spans="2:12" ht="15" customHeight="1" x14ac:dyDescent="0.2">
      <c r="B753" s="250" t="s">
        <v>1795</v>
      </c>
      <c r="C753" s="250" t="s">
        <v>4099</v>
      </c>
      <c r="D753" s="250" t="s">
        <v>1788</v>
      </c>
      <c r="K753" s="250">
        <v>0.55000000000000004</v>
      </c>
      <c r="L753" s="250">
        <v>16</v>
      </c>
    </row>
    <row r="754" spans="2:12" ht="15" customHeight="1" x14ac:dyDescent="0.2">
      <c r="B754" s="250" t="s">
        <v>1796</v>
      </c>
      <c r="C754" s="250" t="s">
        <v>3883</v>
      </c>
      <c r="D754" s="250" t="s">
        <v>1788</v>
      </c>
      <c r="K754" s="250">
        <v>0.55000000000000004</v>
      </c>
      <c r="L754" s="250">
        <v>16</v>
      </c>
    </row>
    <row r="755" spans="2:12" ht="15" customHeight="1" x14ac:dyDescent="0.2">
      <c r="B755" s="250" t="s">
        <v>1797</v>
      </c>
      <c r="C755" s="250" t="s">
        <v>3883</v>
      </c>
      <c r="D755" s="250" t="s">
        <v>1788</v>
      </c>
      <c r="K755" s="250">
        <v>0.55000000000000004</v>
      </c>
      <c r="L755" s="250">
        <v>24</v>
      </c>
    </row>
    <row r="756" spans="2:12" ht="15" customHeight="1" x14ac:dyDescent="0.2">
      <c r="B756" s="250" t="s">
        <v>1798</v>
      </c>
      <c r="C756" s="250" t="s">
        <v>4099</v>
      </c>
      <c r="D756" s="250" t="s">
        <v>1788</v>
      </c>
      <c r="K756" s="250">
        <v>0.55000000000000004</v>
      </c>
      <c r="L756" s="250">
        <v>64</v>
      </c>
    </row>
    <row r="757" spans="2:12" ht="15" customHeight="1" x14ac:dyDescent="0.2">
      <c r="B757" s="250" t="s">
        <v>4122</v>
      </c>
      <c r="C757" s="250" t="s">
        <v>4073</v>
      </c>
      <c r="D757" s="250" t="s">
        <v>1788</v>
      </c>
      <c r="K757" s="250">
        <v>0.55000000000000004</v>
      </c>
      <c r="L757" s="250">
        <v>560</v>
      </c>
    </row>
    <row r="758" spans="2:12" ht="15" customHeight="1" x14ac:dyDescent="0.2">
      <c r="B758" s="250" t="s">
        <v>3897</v>
      </c>
      <c r="C758" s="250" t="s">
        <v>4099</v>
      </c>
      <c r="D758" s="250" t="s">
        <v>1788</v>
      </c>
      <c r="K758" s="250">
        <v>0.55000000000000004</v>
      </c>
      <c r="L758" s="250">
        <v>560</v>
      </c>
    </row>
    <row r="759" spans="2:12" ht="15" customHeight="1" x14ac:dyDescent="0.2">
      <c r="B759" s="250" t="s">
        <v>4123</v>
      </c>
      <c r="C759" s="250" t="s">
        <v>3883</v>
      </c>
      <c r="D759" s="250" t="s">
        <v>1788</v>
      </c>
      <c r="K759" s="250">
        <v>0.55000000000000004</v>
      </c>
      <c r="L759" s="250">
        <v>580</v>
      </c>
    </row>
    <row r="760" spans="2:12" ht="15" customHeight="1" x14ac:dyDescent="0.2">
      <c r="B760" s="250" t="s">
        <v>1799</v>
      </c>
      <c r="C760" s="250" t="s">
        <v>4099</v>
      </c>
      <c r="D760" s="250" t="s">
        <v>542</v>
      </c>
      <c r="K760" s="250">
        <v>0.55000000000000004</v>
      </c>
      <c r="L760" s="250">
        <v>38</v>
      </c>
    </row>
    <row r="761" spans="2:12" ht="15" customHeight="1" x14ac:dyDescent="0.2">
      <c r="B761" s="250" t="s">
        <v>1800</v>
      </c>
      <c r="C761" s="250" t="s">
        <v>4073</v>
      </c>
      <c r="D761" s="250" t="s">
        <v>542</v>
      </c>
      <c r="K761" s="250">
        <v>0.55000000000000004</v>
      </c>
      <c r="L761" s="250">
        <v>200</v>
      </c>
    </row>
    <row r="762" spans="2:12" ht="15" customHeight="1" x14ac:dyDescent="0.2">
      <c r="B762" s="250" t="s">
        <v>1801</v>
      </c>
      <c r="C762" s="250" t="s">
        <v>4073</v>
      </c>
      <c r="D762" s="250" t="s">
        <v>1802</v>
      </c>
      <c r="K762" s="250">
        <v>0.55000000000000004</v>
      </c>
      <c r="L762" s="250">
        <v>120</v>
      </c>
    </row>
    <row r="763" spans="2:12" ht="15" customHeight="1" x14ac:dyDescent="0.2">
      <c r="B763" s="250" t="s">
        <v>3898</v>
      </c>
      <c r="C763" s="250" t="s">
        <v>4099</v>
      </c>
      <c r="D763" s="250" t="s">
        <v>68</v>
      </c>
      <c r="K763" s="250">
        <v>0.55000000000000004</v>
      </c>
      <c r="L763" s="250">
        <v>231</v>
      </c>
    </row>
    <row r="764" spans="2:12" ht="15" customHeight="1" x14ac:dyDescent="0.2">
      <c r="B764" s="250" t="s">
        <v>1501</v>
      </c>
      <c r="C764" s="250" t="s">
        <v>3883</v>
      </c>
      <c r="D764" s="250" t="s">
        <v>345</v>
      </c>
      <c r="K764" s="250">
        <v>0.55000000000000004</v>
      </c>
      <c r="L764" s="250">
        <v>46</v>
      </c>
    </row>
    <row r="765" spans="2:12" ht="15" customHeight="1" x14ac:dyDescent="0.2">
      <c r="B765" s="250" t="s">
        <v>1502</v>
      </c>
      <c r="C765" s="250" t="s">
        <v>3883</v>
      </c>
      <c r="D765" s="250" t="s">
        <v>345</v>
      </c>
      <c r="K765" s="250">
        <v>0.55000000000000004</v>
      </c>
      <c r="L765" s="250">
        <v>52.5</v>
      </c>
    </row>
    <row r="766" spans="2:12" ht="15" customHeight="1" x14ac:dyDescent="0.2">
      <c r="B766" s="250" t="s">
        <v>1503</v>
      </c>
      <c r="C766" s="250" t="s">
        <v>4099</v>
      </c>
      <c r="D766" s="250" t="s">
        <v>345</v>
      </c>
      <c r="K766" s="250">
        <v>0.55000000000000004</v>
      </c>
      <c r="L766" s="250">
        <v>59</v>
      </c>
    </row>
    <row r="767" spans="2:12" ht="15" customHeight="1" x14ac:dyDescent="0.2">
      <c r="B767" s="250" t="s">
        <v>1504</v>
      </c>
      <c r="C767" s="250" t="s">
        <v>4073</v>
      </c>
      <c r="D767" s="250" t="s">
        <v>345</v>
      </c>
      <c r="K767" s="250">
        <v>0.55000000000000004</v>
      </c>
      <c r="L767" s="250">
        <v>77.5</v>
      </c>
    </row>
    <row r="768" spans="2:12" ht="15" customHeight="1" x14ac:dyDescent="0.2">
      <c r="B768" s="250" t="s">
        <v>1505</v>
      </c>
      <c r="C768" s="250" t="s">
        <v>3883</v>
      </c>
      <c r="D768" s="250" t="s">
        <v>345</v>
      </c>
      <c r="K768" s="250">
        <v>0.55000000000000004</v>
      </c>
      <c r="L768" s="250">
        <v>84</v>
      </c>
    </row>
    <row r="769" spans="2:12" ht="15" customHeight="1" x14ac:dyDescent="0.2">
      <c r="B769" s="250" t="s">
        <v>1506</v>
      </c>
      <c r="C769" s="250" t="s">
        <v>4073</v>
      </c>
      <c r="D769" s="250" t="s">
        <v>345</v>
      </c>
      <c r="K769" s="250">
        <v>0.55000000000000004</v>
      </c>
      <c r="L769" s="250">
        <v>90</v>
      </c>
    </row>
    <row r="770" spans="2:12" ht="15" customHeight="1" x14ac:dyDescent="0.2">
      <c r="B770" s="250" t="s">
        <v>1507</v>
      </c>
      <c r="C770" s="250" t="s">
        <v>4099</v>
      </c>
      <c r="D770" s="250" t="s">
        <v>345</v>
      </c>
      <c r="K770" s="250">
        <v>0.55000000000000004</v>
      </c>
      <c r="L770" s="250">
        <v>113</v>
      </c>
    </row>
    <row r="771" spans="2:12" ht="15" customHeight="1" x14ac:dyDescent="0.2">
      <c r="B771" s="250" t="s">
        <v>1508</v>
      </c>
      <c r="C771" s="250" t="s">
        <v>3883</v>
      </c>
      <c r="D771" s="250" t="s">
        <v>345</v>
      </c>
      <c r="K771" s="250">
        <v>0.55000000000000004</v>
      </c>
      <c r="L771" s="250">
        <v>124</v>
      </c>
    </row>
    <row r="772" spans="2:12" ht="15" customHeight="1" x14ac:dyDescent="0.2">
      <c r="B772" s="250" t="s">
        <v>1509</v>
      </c>
      <c r="C772" s="250" t="s">
        <v>4099</v>
      </c>
      <c r="D772" s="250" t="s">
        <v>345</v>
      </c>
      <c r="K772" s="250">
        <v>0.55000000000000004</v>
      </c>
      <c r="L772" s="250">
        <v>136.5</v>
      </c>
    </row>
    <row r="773" spans="2:12" ht="15" customHeight="1" x14ac:dyDescent="0.2">
      <c r="B773" s="250" t="s">
        <v>1510</v>
      </c>
      <c r="C773" s="250" t="s">
        <v>4099</v>
      </c>
      <c r="D773" s="250" t="s">
        <v>345</v>
      </c>
      <c r="K773" s="250">
        <v>0.55000000000000004</v>
      </c>
      <c r="L773" s="250">
        <v>151</v>
      </c>
    </row>
    <row r="774" spans="2:12" ht="15" customHeight="1" x14ac:dyDescent="0.2">
      <c r="B774" s="250" t="s">
        <v>1511</v>
      </c>
      <c r="C774" s="250" t="s">
        <v>3883</v>
      </c>
      <c r="D774" s="250" t="s">
        <v>345</v>
      </c>
      <c r="K774" s="250">
        <v>0.55000000000000004</v>
      </c>
      <c r="L774" s="250">
        <v>157.5</v>
      </c>
    </row>
    <row r="775" spans="2:12" ht="15" customHeight="1" x14ac:dyDescent="0.2">
      <c r="B775" s="250" t="s">
        <v>1512</v>
      </c>
      <c r="C775" s="250" t="s">
        <v>3883</v>
      </c>
      <c r="D775" s="250" t="s">
        <v>345</v>
      </c>
      <c r="K775" s="250">
        <v>0.55000000000000004</v>
      </c>
      <c r="L775" s="250">
        <v>168</v>
      </c>
    </row>
    <row r="776" spans="2:12" ht="15" customHeight="1" x14ac:dyDescent="0.2">
      <c r="B776" s="250" t="s">
        <v>1513</v>
      </c>
      <c r="C776" s="250" t="s">
        <v>4099</v>
      </c>
      <c r="D776" s="250" t="s">
        <v>345</v>
      </c>
      <c r="K776" s="250">
        <v>0.55000000000000004</v>
      </c>
      <c r="L776" s="250">
        <v>189</v>
      </c>
    </row>
    <row r="777" spans="2:12" ht="15" customHeight="1" x14ac:dyDescent="0.2">
      <c r="B777" s="250" t="s">
        <v>198</v>
      </c>
      <c r="C777" s="250" t="s">
        <v>4099</v>
      </c>
      <c r="D777" s="250" t="s">
        <v>345</v>
      </c>
      <c r="K777" s="250">
        <v>0.55000000000000004</v>
      </c>
      <c r="L777" s="250">
        <v>210</v>
      </c>
    </row>
    <row r="778" spans="2:12" ht="15" customHeight="1" x14ac:dyDescent="0.2">
      <c r="B778" s="250" t="s">
        <v>4124</v>
      </c>
      <c r="C778" s="250" t="s">
        <v>3883</v>
      </c>
      <c r="D778" s="250" t="s">
        <v>345</v>
      </c>
      <c r="K778" s="250">
        <v>0.55000000000000004</v>
      </c>
      <c r="L778" s="250">
        <v>231</v>
      </c>
    </row>
    <row r="779" spans="2:12" ht="15" customHeight="1" x14ac:dyDescent="0.2">
      <c r="B779" s="250" t="s">
        <v>3899</v>
      </c>
      <c r="C779" s="250" t="s">
        <v>4073</v>
      </c>
      <c r="D779" s="250" t="s">
        <v>345</v>
      </c>
      <c r="K779" s="250">
        <v>0.55000000000000004</v>
      </c>
      <c r="L779" s="250">
        <v>252</v>
      </c>
    </row>
    <row r="780" spans="2:12" ht="15" customHeight="1" x14ac:dyDescent="0.2">
      <c r="B780" s="250" t="s">
        <v>206</v>
      </c>
      <c r="C780" s="250" t="s">
        <v>3883</v>
      </c>
      <c r="D780" s="250" t="s">
        <v>345</v>
      </c>
      <c r="K780" s="250">
        <v>0.55000000000000004</v>
      </c>
      <c r="L780" s="250">
        <v>262.5</v>
      </c>
    </row>
    <row r="781" spans="2:12" ht="15" customHeight="1" x14ac:dyDescent="0.2">
      <c r="B781" s="250" t="s">
        <v>208</v>
      </c>
      <c r="C781" s="250" t="s">
        <v>3883</v>
      </c>
      <c r="D781" s="250" t="s">
        <v>345</v>
      </c>
      <c r="K781" s="250">
        <v>0.55000000000000004</v>
      </c>
      <c r="L781" s="250">
        <v>315</v>
      </c>
    </row>
    <row r="782" spans="2:12" ht="15" customHeight="1" x14ac:dyDescent="0.2">
      <c r="B782" s="250" t="s">
        <v>208</v>
      </c>
      <c r="C782" s="250" t="s">
        <v>4073</v>
      </c>
      <c r="D782" s="250" t="s">
        <v>345</v>
      </c>
      <c r="K782" s="250">
        <v>0.55000000000000004</v>
      </c>
      <c r="L782" s="250">
        <v>367.5</v>
      </c>
    </row>
    <row r="783" spans="2:12" ht="15" customHeight="1" x14ac:dyDescent="0.2">
      <c r="B783" s="250" t="s">
        <v>1514</v>
      </c>
      <c r="C783" s="250" t="s">
        <v>4099</v>
      </c>
      <c r="D783" s="250" t="s">
        <v>345</v>
      </c>
      <c r="K783" s="250">
        <v>0.55000000000000004</v>
      </c>
      <c r="L783" s="250">
        <v>420</v>
      </c>
    </row>
    <row r="784" spans="2:12" ht="15" customHeight="1" x14ac:dyDescent="0.2">
      <c r="B784" s="250" t="s">
        <v>1515</v>
      </c>
      <c r="C784" s="250" t="s">
        <v>4099</v>
      </c>
      <c r="D784" s="250" t="s">
        <v>345</v>
      </c>
      <c r="K784" s="250">
        <v>0.55000000000000004</v>
      </c>
      <c r="L784" s="250">
        <v>525</v>
      </c>
    </row>
    <row r="785" spans="2:12" ht="15" customHeight="1" x14ac:dyDescent="0.2">
      <c r="B785" s="250" t="s">
        <v>1516</v>
      </c>
      <c r="C785" s="250" t="s">
        <v>4073</v>
      </c>
      <c r="D785" s="250" t="s">
        <v>345</v>
      </c>
      <c r="K785" s="250">
        <v>0.55000000000000004</v>
      </c>
      <c r="L785" s="250">
        <v>115</v>
      </c>
    </row>
    <row r="786" spans="2:12" ht="15" customHeight="1" x14ac:dyDescent="0.2">
      <c r="B786" s="250" t="s">
        <v>1517</v>
      </c>
      <c r="C786" s="250" t="s">
        <v>4099</v>
      </c>
      <c r="D786" s="250" t="s">
        <v>345</v>
      </c>
      <c r="K786" s="250">
        <v>0.55000000000000004</v>
      </c>
      <c r="L786" s="250">
        <v>150</v>
      </c>
    </row>
    <row r="787" spans="2:12" ht="15" customHeight="1" x14ac:dyDescent="0.2">
      <c r="B787" s="250" t="s">
        <v>1518</v>
      </c>
      <c r="C787" s="250" t="s">
        <v>3883</v>
      </c>
      <c r="D787" s="250" t="s">
        <v>345</v>
      </c>
      <c r="K787" s="250">
        <v>0.55000000000000004</v>
      </c>
      <c r="L787" s="250">
        <v>165</v>
      </c>
    </row>
    <row r="788" spans="2:12" ht="15" customHeight="1" x14ac:dyDescent="0.2">
      <c r="B788" s="250" t="s">
        <v>1519</v>
      </c>
      <c r="C788" s="250" t="s">
        <v>4073</v>
      </c>
      <c r="D788" s="250" t="s">
        <v>345</v>
      </c>
      <c r="K788" s="250">
        <v>0.55000000000000004</v>
      </c>
      <c r="L788" s="250">
        <v>189</v>
      </c>
    </row>
    <row r="789" spans="2:12" ht="15" customHeight="1" x14ac:dyDescent="0.2">
      <c r="B789" s="250" t="s">
        <v>1520</v>
      </c>
      <c r="C789" s="250" t="s">
        <v>3883</v>
      </c>
      <c r="D789" s="250" t="s">
        <v>345</v>
      </c>
      <c r="K789" s="250">
        <v>0.55000000000000004</v>
      </c>
      <c r="L789" s="250">
        <v>235</v>
      </c>
    </row>
    <row r="790" spans="2:12" ht="15" customHeight="1" x14ac:dyDescent="0.2">
      <c r="B790" s="250" t="s">
        <v>1521</v>
      </c>
      <c r="C790" s="250" t="s">
        <v>3883</v>
      </c>
      <c r="D790" s="250" t="s">
        <v>345</v>
      </c>
      <c r="K790" s="250">
        <v>0.55000000000000004</v>
      </c>
      <c r="L790" s="250">
        <v>270</v>
      </c>
    </row>
    <row r="791" spans="2:12" ht="15" customHeight="1" x14ac:dyDescent="0.2">
      <c r="B791" s="250" t="s">
        <v>1522</v>
      </c>
      <c r="C791" s="250" t="s">
        <v>3883</v>
      </c>
      <c r="D791" s="250" t="s">
        <v>345</v>
      </c>
      <c r="K791" s="250">
        <v>0.55000000000000004</v>
      </c>
      <c r="L791" s="250">
        <v>315</v>
      </c>
    </row>
    <row r="792" spans="2:12" ht="15" customHeight="1" x14ac:dyDescent="0.2">
      <c r="B792" s="250" t="s">
        <v>1523</v>
      </c>
      <c r="C792" s="250" t="s">
        <v>3883</v>
      </c>
      <c r="D792" s="250" t="s">
        <v>345</v>
      </c>
      <c r="K792" s="250">
        <v>0.55000000000000004</v>
      </c>
      <c r="L792" s="250">
        <v>335</v>
      </c>
    </row>
    <row r="793" spans="2:12" ht="15" customHeight="1" x14ac:dyDescent="0.2">
      <c r="B793" s="250" t="s">
        <v>1524</v>
      </c>
      <c r="C793" s="250" t="s">
        <v>3883</v>
      </c>
      <c r="D793" s="250" t="s">
        <v>345</v>
      </c>
      <c r="K793" s="250">
        <v>0.55000000000000004</v>
      </c>
      <c r="L793" s="250">
        <v>360</v>
      </c>
    </row>
    <row r="794" spans="2:12" ht="15" customHeight="1" x14ac:dyDescent="0.2">
      <c r="B794" s="250" t="s">
        <v>1525</v>
      </c>
      <c r="C794" s="250" t="s">
        <v>4099</v>
      </c>
      <c r="D794" s="250" t="s">
        <v>345</v>
      </c>
      <c r="K794" s="250">
        <v>0.55000000000000004</v>
      </c>
      <c r="L794" s="250">
        <v>410</v>
      </c>
    </row>
    <row r="795" spans="2:12" ht="15" customHeight="1" x14ac:dyDescent="0.2">
      <c r="B795" s="250" t="s">
        <v>1526</v>
      </c>
      <c r="C795" s="250" t="s">
        <v>4099</v>
      </c>
      <c r="D795" s="250" t="s">
        <v>345</v>
      </c>
      <c r="K795" s="250">
        <v>0.55000000000000004</v>
      </c>
      <c r="L795" s="250">
        <v>430</v>
      </c>
    </row>
    <row r="796" spans="2:12" ht="15" customHeight="1" x14ac:dyDescent="0.2">
      <c r="B796" s="250" t="s">
        <v>1527</v>
      </c>
      <c r="C796" s="250" t="s">
        <v>4099</v>
      </c>
      <c r="D796" s="250" t="s">
        <v>345</v>
      </c>
      <c r="K796" s="250">
        <v>0.55000000000000004</v>
      </c>
      <c r="L796" s="250">
        <v>440</v>
      </c>
    </row>
    <row r="797" spans="2:12" ht="15" customHeight="1" x14ac:dyDescent="0.2">
      <c r="B797" s="250" t="s">
        <v>1528</v>
      </c>
      <c r="C797" s="250" t="s">
        <v>4073</v>
      </c>
      <c r="D797" s="250" t="s">
        <v>345</v>
      </c>
      <c r="K797" s="250">
        <v>0.55000000000000004</v>
      </c>
      <c r="L797" s="250">
        <v>645</v>
      </c>
    </row>
    <row r="798" spans="2:12" ht="15" customHeight="1" x14ac:dyDescent="0.2">
      <c r="B798" s="250" t="s">
        <v>3900</v>
      </c>
    </row>
    <row r="799" spans="2:12" ht="15" customHeight="1" x14ac:dyDescent="0.2">
      <c r="B799" s="250" t="s">
        <v>1484</v>
      </c>
      <c r="C799" s="250" t="s">
        <v>1482</v>
      </c>
      <c r="D799" s="250" t="s">
        <v>1485</v>
      </c>
      <c r="K799" s="250">
        <v>1</v>
      </c>
      <c r="L799" s="250">
        <v>2520</v>
      </c>
    </row>
    <row r="800" spans="2:12" ht="15" customHeight="1" x14ac:dyDescent="0.2">
      <c r="B800" s="250" t="s">
        <v>185</v>
      </c>
      <c r="C800" s="250" t="s">
        <v>1482</v>
      </c>
      <c r="D800" s="250" t="s">
        <v>1485</v>
      </c>
      <c r="K800" s="250">
        <v>1</v>
      </c>
      <c r="L800" s="250">
        <v>2280</v>
      </c>
    </row>
    <row r="801" spans="2:12" ht="15" customHeight="1" x14ac:dyDescent="0.2">
      <c r="B801" s="250" t="s">
        <v>1486</v>
      </c>
      <c r="C801" s="250" t="s">
        <v>1482</v>
      </c>
      <c r="D801" s="250" t="s">
        <v>1485</v>
      </c>
      <c r="K801" s="250">
        <v>1</v>
      </c>
      <c r="L801" s="250">
        <v>2280</v>
      </c>
    </row>
    <row r="802" spans="2:12" ht="15" customHeight="1" x14ac:dyDescent="0.2">
      <c r="B802" s="250" t="s">
        <v>4125</v>
      </c>
      <c r="C802" s="250" t="s">
        <v>1482</v>
      </c>
      <c r="D802" s="250" t="s">
        <v>1485</v>
      </c>
      <c r="K802" s="250">
        <v>1</v>
      </c>
      <c r="L802" s="250">
        <v>2160</v>
      </c>
    </row>
    <row r="803" spans="2:12" ht="15" customHeight="1" x14ac:dyDescent="0.2">
      <c r="B803" s="250" t="s">
        <v>1487</v>
      </c>
      <c r="C803" s="250" t="s">
        <v>1482</v>
      </c>
      <c r="D803" s="250" t="s">
        <v>1485</v>
      </c>
      <c r="K803" s="250">
        <v>1</v>
      </c>
      <c r="L803" s="250">
        <v>2040</v>
      </c>
    </row>
    <row r="804" spans="2:12" ht="15" customHeight="1" x14ac:dyDescent="0.2">
      <c r="B804" s="250" t="s">
        <v>186</v>
      </c>
      <c r="C804" s="250" t="s">
        <v>1482</v>
      </c>
      <c r="D804" s="250" t="s">
        <v>1485</v>
      </c>
      <c r="K804" s="250">
        <v>1</v>
      </c>
      <c r="L804" s="250">
        <v>1920</v>
      </c>
    </row>
    <row r="805" spans="2:12" ht="15" customHeight="1" x14ac:dyDescent="0.2">
      <c r="B805" s="250" t="s">
        <v>187</v>
      </c>
      <c r="C805" s="250" t="s">
        <v>1482</v>
      </c>
      <c r="D805" s="250" t="s">
        <v>1485</v>
      </c>
      <c r="K805" s="250">
        <v>1</v>
      </c>
      <c r="L805" s="250">
        <v>1800</v>
      </c>
    </row>
    <row r="806" spans="2:12" ht="15" customHeight="1" x14ac:dyDescent="0.2">
      <c r="B806" s="250" t="s">
        <v>1488</v>
      </c>
      <c r="C806" s="250" t="s">
        <v>1482</v>
      </c>
      <c r="D806" s="250" t="s">
        <v>1485</v>
      </c>
      <c r="K806" s="250">
        <v>1</v>
      </c>
      <c r="L806" s="250">
        <v>1680</v>
      </c>
    </row>
    <row r="807" spans="2:12" ht="15" customHeight="1" x14ac:dyDescent="0.2">
      <c r="B807" s="250" t="s">
        <v>4126</v>
      </c>
      <c r="C807" s="250" t="s">
        <v>1482</v>
      </c>
      <c r="D807" s="250" t="s">
        <v>1485</v>
      </c>
      <c r="K807" s="250">
        <v>1</v>
      </c>
      <c r="L807" s="250">
        <v>2280</v>
      </c>
    </row>
    <row r="808" spans="2:12" ht="15" customHeight="1" x14ac:dyDescent="0.2">
      <c r="B808" s="250" t="s">
        <v>1489</v>
      </c>
      <c r="C808" s="250" t="s">
        <v>1482</v>
      </c>
      <c r="D808" s="250" t="s">
        <v>1485</v>
      </c>
      <c r="K808" s="250">
        <v>1</v>
      </c>
      <c r="L808" s="250">
        <v>2100</v>
      </c>
    </row>
    <row r="809" spans="2:12" ht="15" customHeight="1" x14ac:dyDescent="0.2">
      <c r="B809" s="250" t="s">
        <v>1490</v>
      </c>
      <c r="C809" s="250" t="s">
        <v>1482</v>
      </c>
      <c r="D809" s="250" t="s">
        <v>1485</v>
      </c>
      <c r="K809" s="250">
        <v>1</v>
      </c>
      <c r="L809" s="250">
        <v>1860</v>
      </c>
    </row>
    <row r="810" spans="2:12" ht="15" customHeight="1" x14ac:dyDescent="0.2">
      <c r="B810" s="250" t="s">
        <v>1491</v>
      </c>
      <c r="C810" s="250" t="s">
        <v>1482</v>
      </c>
      <c r="D810" s="250" t="s">
        <v>1485</v>
      </c>
      <c r="K810" s="250">
        <v>1</v>
      </c>
      <c r="L810" s="250">
        <v>1680</v>
      </c>
    </row>
    <row r="811" spans="2:12" ht="15" customHeight="1" x14ac:dyDescent="0.2">
      <c r="B811" s="250" t="s">
        <v>1492</v>
      </c>
      <c r="C811" s="250" t="s">
        <v>1482</v>
      </c>
      <c r="D811" s="250" t="s">
        <v>1466</v>
      </c>
      <c r="K811" s="250">
        <v>1</v>
      </c>
      <c r="L811" s="250">
        <v>1010</v>
      </c>
    </row>
    <row r="812" spans="2:12" ht="15" customHeight="1" x14ac:dyDescent="0.2">
      <c r="B812" s="250" t="s">
        <v>4127</v>
      </c>
      <c r="C812" s="250" t="s">
        <v>1482</v>
      </c>
      <c r="D812" s="250" t="s">
        <v>1466</v>
      </c>
      <c r="K812" s="250">
        <v>1</v>
      </c>
      <c r="L812" s="250">
        <v>965</v>
      </c>
    </row>
    <row r="813" spans="2:12" ht="15" customHeight="1" x14ac:dyDescent="0.2">
      <c r="B813" s="250" t="s">
        <v>4128</v>
      </c>
      <c r="C813" s="250" t="s">
        <v>1482</v>
      </c>
      <c r="D813" s="250" t="s">
        <v>1466</v>
      </c>
      <c r="K813" s="250">
        <v>1</v>
      </c>
      <c r="L813" s="250">
        <v>780</v>
      </c>
    </row>
    <row r="814" spans="2:12" ht="15" customHeight="1" x14ac:dyDescent="0.2">
      <c r="B814" s="250" t="s">
        <v>1493</v>
      </c>
      <c r="C814" s="250" t="s">
        <v>1482</v>
      </c>
      <c r="D814" s="250" t="s">
        <v>1466</v>
      </c>
      <c r="K814" s="250">
        <v>1</v>
      </c>
      <c r="L814" s="250">
        <v>715</v>
      </c>
    </row>
    <row r="815" spans="2:12" ht="15" customHeight="1" x14ac:dyDescent="0.2">
      <c r="B815" s="250" t="s">
        <v>1494</v>
      </c>
      <c r="C815" s="250" t="s">
        <v>1482</v>
      </c>
      <c r="D815" s="250" t="s">
        <v>1466</v>
      </c>
      <c r="K815" s="250">
        <v>1</v>
      </c>
      <c r="L815" s="250">
        <v>695</v>
      </c>
    </row>
    <row r="816" spans="2:12" ht="15" customHeight="1" x14ac:dyDescent="0.2">
      <c r="B816" s="250" t="s">
        <v>1495</v>
      </c>
      <c r="C816" s="250" t="s">
        <v>1482</v>
      </c>
      <c r="D816" s="250" t="s">
        <v>1466</v>
      </c>
      <c r="K816" s="250">
        <v>1</v>
      </c>
      <c r="L816" s="250">
        <v>675</v>
      </c>
    </row>
    <row r="817" spans="2:12" ht="15" customHeight="1" x14ac:dyDescent="0.2">
      <c r="B817" s="250" t="s">
        <v>1496</v>
      </c>
      <c r="C817" s="250" t="s">
        <v>1482</v>
      </c>
      <c r="D817" s="250" t="s">
        <v>1466</v>
      </c>
      <c r="K817" s="250">
        <v>1</v>
      </c>
      <c r="L817" s="250">
        <v>650</v>
      </c>
    </row>
    <row r="818" spans="2:12" ht="15" customHeight="1" x14ac:dyDescent="0.2">
      <c r="B818" s="250" t="s">
        <v>1497</v>
      </c>
      <c r="C818" s="250" t="s">
        <v>1482</v>
      </c>
      <c r="D818" s="250" t="s">
        <v>1466</v>
      </c>
      <c r="K818" s="250">
        <v>1</v>
      </c>
      <c r="L818" s="250">
        <v>1028</v>
      </c>
    </row>
    <row r="819" spans="2:12" ht="15" customHeight="1" x14ac:dyDescent="0.2">
      <c r="B819" s="250" t="s">
        <v>3901</v>
      </c>
      <c r="C819" s="250" t="s">
        <v>1482</v>
      </c>
      <c r="D819" s="250" t="s">
        <v>1466</v>
      </c>
      <c r="K819" s="250">
        <v>1</v>
      </c>
      <c r="L819" s="250">
        <v>860</v>
      </c>
    </row>
    <row r="820" spans="2:12" ht="15" customHeight="1" x14ac:dyDescent="0.2">
      <c r="B820" s="250" t="s">
        <v>1498</v>
      </c>
      <c r="C820" s="250" t="s">
        <v>1482</v>
      </c>
      <c r="D820" s="250" t="s">
        <v>1466</v>
      </c>
      <c r="K820" s="250">
        <v>1</v>
      </c>
      <c r="L820" s="250">
        <v>790</v>
      </c>
    </row>
    <row r="821" spans="2:12" ht="15" customHeight="1" x14ac:dyDescent="0.2">
      <c r="B821" s="250" t="s">
        <v>1499</v>
      </c>
      <c r="C821" s="250" t="s">
        <v>1482</v>
      </c>
      <c r="D821" s="250" t="s">
        <v>1466</v>
      </c>
      <c r="K821" s="250">
        <v>1</v>
      </c>
      <c r="L821" s="250">
        <v>715</v>
      </c>
    </row>
    <row r="822" spans="2:12" ht="15" customHeight="1" x14ac:dyDescent="0.2">
      <c r="B822" s="250" t="s">
        <v>1500</v>
      </c>
      <c r="C822" s="250" t="s">
        <v>1482</v>
      </c>
      <c r="D822" s="250" t="s">
        <v>1466</v>
      </c>
      <c r="K822" s="250">
        <v>1</v>
      </c>
      <c r="L822" s="250">
        <v>630</v>
      </c>
    </row>
    <row r="823" spans="2:12" ht="15" customHeight="1" x14ac:dyDescent="0.2">
      <c r="B823" s="250" t="s">
        <v>4129</v>
      </c>
      <c r="C823" s="250" t="s">
        <v>1482</v>
      </c>
      <c r="D823" s="250" t="s">
        <v>4130</v>
      </c>
      <c r="K823" s="250">
        <v>1</v>
      </c>
      <c r="L823" s="250">
        <v>320</v>
      </c>
    </row>
    <row r="824" spans="2:12" ht="15" customHeight="1" x14ac:dyDescent="0.2">
      <c r="B824" s="250" t="s">
        <v>1529</v>
      </c>
      <c r="C824" s="250" t="s">
        <v>1482</v>
      </c>
      <c r="D824" s="250" t="s">
        <v>1530</v>
      </c>
      <c r="K824" s="250">
        <v>1</v>
      </c>
      <c r="L824" s="250">
        <v>180</v>
      </c>
    </row>
    <row r="825" spans="2:12" ht="15" customHeight="1" x14ac:dyDescent="0.2">
      <c r="B825" s="250" t="s">
        <v>1531</v>
      </c>
      <c r="C825" s="250" t="s">
        <v>1482</v>
      </c>
      <c r="D825" s="250" t="s">
        <v>1530</v>
      </c>
      <c r="K825" s="250">
        <v>1</v>
      </c>
      <c r="L825" s="250">
        <v>190</v>
      </c>
    </row>
    <row r="826" spans="2:12" ht="15" customHeight="1" x14ac:dyDescent="0.2">
      <c r="B826" s="250" t="s">
        <v>1532</v>
      </c>
      <c r="C826" s="250" t="s">
        <v>1482</v>
      </c>
      <c r="D826" s="250" t="s">
        <v>1530</v>
      </c>
      <c r="K826" s="250">
        <v>1</v>
      </c>
      <c r="L826" s="250">
        <v>365</v>
      </c>
    </row>
    <row r="827" spans="2:12" ht="15" customHeight="1" x14ac:dyDescent="0.2">
      <c r="B827" s="250" t="s">
        <v>1533</v>
      </c>
      <c r="C827" s="250" t="s">
        <v>1482</v>
      </c>
      <c r="D827" s="250" t="s">
        <v>1534</v>
      </c>
      <c r="K827" s="250">
        <v>1</v>
      </c>
      <c r="L827" s="250">
        <v>358</v>
      </c>
    </row>
    <row r="828" spans="2:12" ht="15" customHeight="1" x14ac:dyDescent="0.2">
      <c r="B828" s="250" t="s">
        <v>1535</v>
      </c>
      <c r="C828" s="250" t="s">
        <v>1482</v>
      </c>
      <c r="D828" s="250" t="s">
        <v>1534</v>
      </c>
      <c r="K828" s="250">
        <v>1</v>
      </c>
      <c r="L828" s="250">
        <v>358</v>
      </c>
    </row>
    <row r="829" spans="2:12" ht="15" customHeight="1" x14ac:dyDescent="0.2">
      <c r="B829" s="250" t="s">
        <v>1536</v>
      </c>
      <c r="C829" s="250" t="s">
        <v>1482</v>
      </c>
      <c r="D829" s="250" t="s">
        <v>1534</v>
      </c>
      <c r="K829" s="250">
        <v>1</v>
      </c>
      <c r="L829" s="250">
        <v>392</v>
      </c>
    </row>
    <row r="830" spans="2:12" ht="15" customHeight="1" x14ac:dyDescent="0.2">
      <c r="B830" s="250" t="s">
        <v>1537</v>
      </c>
      <c r="C830" s="250" t="s">
        <v>1482</v>
      </c>
      <c r="D830" s="250" t="s">
        <v>1534</v>
      </c>
      <c r="K830" s="250">
        <v>1</v>
      </c>
      <c r="L830" s="250">
        <v>433</v>
      </c>
    </row>
    <row r="831" spans="2:12" ht="15" customHeight="1" x14ac:dyDescent="0.2">
      <c r="B831" s="250" t="s">
        <v>1538</v>
      </c>
      <c r="C831" s="250" t="s">
        <v>1482</v>
      </c>
      <c r="D831" s="250" t="s">
        <v>1534</v>
      </c>
      <c r="K831" s="250">
        <v>1</v>
      </c>
      <c r="L831" s="250">
        <v>433</v>
      </c>
    </row>
    <row r="832" spans="2:12" ht="15" customHeight="1" x14ac:dyDescent="0.2">
      <c r="B832" s="250" t="s">
        <v>1539</v>
      </c>
      <c r="C832" s="250" t="s">
        <v>1482</v>
      </c>
      <c r="D832" s="250" t="s">
        <v>1534</v>
      </c>
      <c r="K832" s="250">
        <v>1</v>
      </c>
      <c r="L832" s="250">
        <v>438</v>
      </c>
    </row>
    <row r="833" spans="1:12" ht="15" customHeight="1" x14ac:dyDescent="0.2">
      <c r="B833" s="250" t="s">
        <v>1540</v>
      </c>
      <c r="C833" s="250" t="s">
        <v>1482</v>
      </c>
      <c r="D833" s="250" t="s">
        <v>1534</v>
      </c>
      <c r="K833" s="250">
        <v>1</v>
      </c>
      <c r="L833" s="250">
        <v>485</v>
      </c>
    </row>
    <row r="834" spans="1:12" ht="15" customHeight="1" x14ac:dyDescent="0.2">
      <c r="B834" s="250" t="s">
        <v>1541</v>
      </c>
      <c r="C834" s="250" t="s">
        <v>1482</v>
      </c>
      <c r="D834" s="250" t="s">
        <v>1534</v>
      </c>
      <c r="K834" s="250">
        <v>1</v>
      </c>
      <c r="L834" s="250">
        <v>540</v>
      </c>
    </row>
    <row r="835" spans="1:12" ht="15" customHeight="1" x14ac:dyDescent="0.2">
      <c r="B835" s="250" t="s">
        <v>1542</v>
      </c>
      <c r="C835" s="250" t="s">
        <v>1482</v>
      </c>
      <c r="D835" s="250" t="s">
        <v>1534</v>
      </c>
      <c r="K835" s="250">
        <v>1</v>
      </c>
      <c r="L835" s="250">
        <v>586</v>
      </c>
    </row>
    <row r="836" spans="1:12" ht="15" customHeight="1" x14ac:dyDescent="0.2">
      <c r="B836" s="250" t="s">
        <v>1543</v>
      </c>
      <c r="C836" s="250" t="s">
        <v>1482</v>
      </c>
      <c r="D836" s="250" t="s">
        <v>1534</v>
      </c>
      <c r="K836" s="250">
        <v>1</v>
      </c>
      <c r="L836" s="250">
        <v>658</v>
      </c>
    </row>
    <row r="837" spans="1:12" ht="15" customHeight="1" x14ac:dyDescent="0.2">
      <c r="B837" s="250" t="s">
        <v>1544</v>
      </c>
      <c r="C837" s="250" t="s">
        <v>1482</v>
      </c>
      <c r="D837" s="250" t="s">
        <v>1534</v>
      </c>
      <c r="K837" s="250">
        <v>1</v>
      </c>
      <c r="L837" s="250">
        <v>663</v>
      </c>
    </row>
    <row r="838" spans="1:12" ht="15" customHeight="1" x14ac:dyDescent="0.2">
      <c r="B838" s="250" t="s">
        <v>1545</v>
      </c>
      <c r="C838" s="250" t="s">
        <v>1482</v>
      </c>
      <c r="D838" s="250" t="s">
        <v>1534</v>
      </c>
      <c r="K838" s="250">
        <v>1</v>
      </c>
      <c r="L838" s="250">
        <v>681</v>
      </c>
    </row>
    <row r="839" spans="1:12" ht="15" customHeight="1" x14ac:dyDescent="0.2">
      <c r="B839" s="250" t="s">
        <v>1546</v>
      </c>
      <c r="C839" s="250" t="s">
        <v>1482</v>
      </c>
      <c r="D839" s="250" t="s">
        <v>1534</v>
      </c>
      <c r="K839" s="250">
        <v>1</v>
      </c>
      <c r="L839" s="250">
        <v>750</v>
      </c>
    </row>
    <row r="840" spans="1:12" ht="15" customHeight="1" x14ac:dyDescent="0.2">
      <c r="B840" s="250" t="s">
        <v>1547</v>
      </c>
      <c r="C840" s="250" t="s">
        <v>1482</v>
      </c>
      <c r="D840" s="250" t="s">
        <v>1534</v>
      </c>
      <c r="K840" s="250">
        <v>1</v>
      </c>
      <c r="L840" s="250">
        <v>825</v>
      </c>
    </row>
    <row r="841" spans="1:12" ht="15" customHeight="1" x14ac:dyDescent="0.2">
      <c r="B841" s="250" t="s">
        <v>1548</v>
      </c>
      <c r="C841" s="250" t="s">
        <v>1482</v>
      </c>
      <c r="D841" s="250" t="s">
        <v>1534</v>
      </c>
      <c r="K841" s="250">
        <v>1</v>
      </c>
      <c r="L841" s="250">
        <v>871</v>
      </c>
    </row>
    <row r="842" spans="1:12" ht="15" customHeight="1" x14ac:dyDescent="0.2">
      <c r="B842" s="250" t="s">
        <v>1549</v>
      </c>
      <c r="C842" s="250" t="s">
        <v>1482</v>
      </c>
      <c r="D842" s="250" t="s">
        <v>1534</v>
      </c>
      <c r="K842" s="250">
        <v>1</v>
      </c>
      <c r="L842" s="250">
        <v>911</v>
      </c>
    </row>
    <row r="843" spans="1:12" ht="15" customHeight="1" x14ac:dyDescent="0.2">
      <c r="B843" s="250" t="s">
        <v>1550</v>
      </c>
      <c r="C843" s="250" t="s">
        <v>1482</v>
      </c>
      <c r="D843" s="250" t="s">
        <v>1534</v>
      </c>
      <c r="K843" s="250">
        <v>1</v>
      </c>
      <c r="L843" s="250">
        <v>1050</v>
      </c>
    </row>
    <row r="844" spans="1:12" ht="15" customHeight="1" x14ac:dyDescent="0.2">
      <c r="B844" s="250" t="s">
        <v>4131</v>
      </c>
    </row>
    <row r="845" spans="1:12" ht="15" customHeight="1" x14ac:dyDescent="0.2">
      <c r="A845" s="252">
        <v>760034210040005</v>
      </c>
      <c r="B845" s="253" t="s">
        <v>260</v>
      </c>
      <c r="C845" s="250" t="s">
        <v>235</v>
      </c>
      <c r="D845" s="250" t="s">
        <v>4104</v>
      </c>
      <c r="K845" s="250">
        <v>0.55000000000000004</v>
      </c>
      <c r="L845" s="250">
        <v>45</v>
      </c>
    </row>
    <row r="846" spans="1:12" ht="15" customHeight="1" x14ac:dyDescent="0.2">
      <c r="A846" s="252">
        <v>760054220003805</v>
      </c>
      <c r="B846" s="253" t="s">
        <v>262</v>
      </c>
      <c r="C846" s="250" t="s">
        <v>235</v>
      </c>
      <c r="D846" s="250" t="s">
        <v>263</v>
      </c>
      <c r="K846" s="250">
        <v>0.55000000000000004</v>
      </c>
      <c r="L846" s="250">
        <v>77</v>
      </c>
    </row>
    <row r="847" spans="1:12" ht="15" customHeight="1" x14ac:dyDescent="0.2">
      <c r="A847" s="252">
        <v>760064254555380</v>
      </c>
      <c r="B847" s="253" t="s">
        <v>264</v>
      </c>
      <c r="C847" s="250" t="s">
        <v>235</v>
      </c>
      <c r="D847" s="250" t="s">
        <v>265</v>
      </c>
      <c r="K847" s="250">
        <v>0.55000000000000004</v>
      </c>
      <c r="L847" s="250">
        <v>58</v>
      </c>
    </row>
    <row r="848" spans="1:12" ht="15" customHeight="1" x14ac:dyDescent="0.2">
      <c r="A848" s="252">
        <v>760044210100001</v>
      </c>
      <c r="B848" s="253" t="s">
        <v>266</v>
      </c>
      <c r="C848" s="250" t="s">
        <v>235</v>
      </c>
      <c r="D848" s="250" t="s">
        <v>3891</v>
      </c>
      <c r="K848" s="250">
        <v>0.55000000000000004</v>
      </c>
      <c r="L848" s="250">
        <v>45</v>
      </c>
    </row>
    <row r="849" spans="1:12" ht="15" customHeight="1" x14ac:dyDescent="0.2">
      <c r="A849" s="252">
        <v>760030610025005</v>
      </c>
      <c r="B849" s="253" t="s">
        <v>268</v>
      </c>
      <c r="C849" s="250" t="s">
        <v>235</v>
      </c>
      <c r="D849" s="250" t="s">
        <v>4104</v>
      </c>
      <c r="K849" s="250">
        <v>0.55000000000000004</v>
      </c>
      <c r="L849" s="250">
        <v>42</v>
      </c>
    </row>
    <row r="850" spans="1:12" ht="15" customHeight="1" x14ac:dyDescent="0.2">
      <c r="A850" s="252">
        <v>760050620003805</v>
      </c>
      <c r="B850" s="253" t="s">
        <v>269</v>
      </c>
      <c r="C850" s="250" t="s">
        <v>235</v>
      </c>
      <c r="D850" s="250" t="s">
        <v>263</v>
      </c>
      <c r="K850" s="250">
        <v>0.55000000000000004</v>
      </c>
      <c r="L850" s="250">
        <v>75</v>
      </c>
    </row>
    <row r="851" spans="1:12" ht="15" customHeight="1" x14ac:dyDescent="0.2">
      <c r="A851" s="252">
        <v>760060654555380</v>
      </c>
      <c r="B851" s="253" t="s">
        <v>270</v>
      </c>
      <c r="C851" s="250" t="s">
        <v>235</v>
      </c>
      <c r="D851" s="250" t="s">
        <v>265</v>
      </c>
      <c r="K851" s="250">
        <v>0.55000000000000004</v>
      </c>
      <c r="L851" s="250">
        <v>57</v>
      </c>
    </row>
    <row r="852" spans="1:12" ht="15" customHeight="1" x14ac:dyDescent="0.2">
      <c r="A852" s="252">
        <v>760200600000011</v>
      </c>
      <c r="B852" s="253" t="s">
        <v>271</v>
      </c>
      <c r="C852" s="250" t="s">
        <v>235</v>
      </c>
      <c r="D852" s="250" t="s">
        <v>272</v>
      </c>
      <c r="K852" s="250">
        <v>0.55000000000000004</v>
      </c>
      <c r="L852" s="250">
        <v>164</v>
      </c>
    </row>
    <row r="853" spans="1:12" ht="15" customHeight="1" x14ac:dyDescent="0.2">
      <c r="A853" s="252">
        <v>760040610004500</v>
      </c>
      <c r="B853" s="253" t="s">
        <v>273</v>
      </c>
      <c r="C853" s="250" t="s">
        <v>235</v>
      </c>
      <c r="D853" s="250" t="s">
        <v>3891</v>
      </c>
      <c r="K853" s="250">
        <v>0.55000000000000004</v>
      </c>
      <c r="L853" s="250">
        <v>42</v>
      </c>
    </row>
    <row r="854" spans="1:12" ht="15" customHeight="1" x14ac:dyDescent="0.2">
      <c r="A854" s="252">
        <v>760038520006005</v>
      </c>
      <c r="B854" s="253" t="s">
        <v>274</v>
      </c>
      <c r="C854" s="250" t="s">
        <v>235</v>
      </c>
      <c r="D854" s="250" t="s">
        <v>4104</v>
      </c>
      <c r="K854" s="250">
        <v>0.55000000000000004</v>
      </c>
      <c r="L854" s="250">
        <v>32</v>
      </c>
    </row>
    <row r="855" spans="1:12" ht="15" customHeight="1" x14ac:dyDescent="0.2">
      <c r="A855" s="252">
        <v>760068554555380</v>
      </c>
      <c r="B855" s="253" t="s">
        <v>275</v>
      </c>
      <c r="C855" s="250" t="s">
        <v>235</v>
      </c>
      <c r="D855" s="250" t="s">
        <v>265</v>
      </c>
      <c r="K855" s="250">
        <v>0.55000000000000004</v>
      </c>
      <c r="L855" s="250">
        <v>45</v>
      </c>
    </row>
    <row r="856" spans="1:12" ht="15" customHeight="1" x14ac:dyDescent="0.2">
      <c r="A856" s="252">
        <v>760048520004500</v>
      </c>
      <c r="B856" s="253" t="s">
        <v>276</v>
      </c>
      <c r="C856" s="250" t="s">
        <v>235</v>
      </c>
      <c r="D856" s="250" t="s">
        <v>4104</v>
      </c>
      <c r="K856" s="250">
        <v>0.55000000000000004</v>
      </c>
      <c r="L856" s="250">
        <v>32</v>
      </c>
    </row>
    <row r="857" spans="1:12" ht="15" customHeight="1" x14ac:dyDescent="0.2">
      <c r="A857" s="252">
        <v>760210200000317</v>
      </c>
      <c r="B857" s="253" t="s">
        <v>277</v>
      </c>
      <c r="C857" s="250" t="s">
        <v>235</v>
      </c>
      <c r="D857" s="250" t="s">
        <v>3891</v>
      </c>
      <c r="K857" s="250">
        <v>0.55000000000000004</v>
      </c>
      <c r="L857" s="250">
        <v>260</v>
      </c>
    </row>
    <row r="858" spans="1:12" ht="15" customHeight="1" x14ac:dyDescent="0.2">
      <c r="A858" s="252">
        <v>760210200000318</v>
      </c>
      <c r="B858" s="253" t="s">
        <v>278</v>
      </c>
      <c r="C858" s="250" t="s">
        <v>235</v>
      </c>
      <c r="D858" s="250" t="s">
        <v>4103</v>
      </c>
      <c r="K858" s="250">
        <v>0.55000000000000004</v>
      </c>
      <c r="L858" s="250">
        <v>260</v>
      </c>
    </row>
    <row r="859" spans="1:12" ht="15" customHeight="1" x14ac:dyDescent="0.2">
      <c r="A859" s="252">
        <v>760210200000300</v>
      </c>
      <c r="B859" s="253" t="s">
        <v>279</v>
      </c>
      <c r="C859" s="250" t="s">
        <v>235</v>
      </c>
      <c r="D859" s="250" t="s">
        <v>3891</v>
      </c>
      <c r="K859" s="250">
        <v>0.55000000000000004</v>
      </c>
      <c r="L859" s="250">
        <v>125</v>
      </c>
    </row>
    <row r="860" spans="1:12" ht="15" customHeight="1" x14ac:dyDescent="0.2">
      <c r="A860" s="252">
        <v>760210200000301</v>
      </c>
      <c r="B860" s="253" t="s">
        <v>280</v>
      </c>
      <c r="C860" s="250" t="s">
        <v>235</v>
      </c>
      <c r="D860" s="250" t="s">
        <v>4103</v>
      </c>
      <c r="K860" s="250">
        <v>0.55000000000000004</v>
      </c>
      <c r="L860" s="250">
        <v>125</v>
      </c>
    </row>
    <row r="861" spans="1:12" ht="15" customHeight="1" x14ac:dyDescent="0.2">
      <c r="A861" s="252">
        <v>710332100000001</v>
      </c>
      <c r="B861" s="253" t="s">
        <v>281</v>
      </c>
      <c r="C861" s="250" t="s">
        <v>235</v>
      </c>
      <c r="D861" s="250" t="s">
        <v>282</v>
      </c>
      <c r="K861" s="250">
        <v>0.55000000000000004</v>
      </c>
      <c r="L861" s="250">
        <v>514</v>
      </c>
    </row>
    <row r="862" spans="1:12" ht="15" customHeight="1" x14ac:dyDescent="0.2">
      <c r="A862" s="252">
        <v>710332100000002</v>
      </c>
      <c r="B862" s="253" t="s">
        <v>283</v>
      </c>
      <c r="C862" s="250" t="s">
        <v>235</v>
      </c>
      <c r="D862" s="250" t="s">
        <v>282</v>
      </c>
      <c r="K862" s="250">
        <v>0.55000000000000004</v>
      </c>
      <c r="L862" s="250">
        <v>566</v>
      </c>
    </row>
    <row r="863" spans="1:12" ht="15" customHeight="1" x14ac:dyDescent="0.2">
      <c r="A863" s="252">
        <v>710332100000001</v>
      </c>
      <c r="B863" s="253" t="s">
        <v>284</v>
      </c>
      <c r="C863" s="250" t="s">
        <v>235</v>
      </c>
      <c r="D863" s="250" t="s">
        <v>282</v>
      </c>
      <c r="K863" s="250">
        <v>0.55000000000000004</v>
      </c>
      <c r="L863" s="250">
        <v>514</v>
      </c>
    </row>
    <row r="864" spans="1:12" ht="15" customHeight="1" x14ac:dyDescent="0.2">
      <c r="A864" s="252">
        <v>710332100000002</v>
      </c>
      <c r="B864" s="253" t="s">
        <v>285</v>
      </c>
      <c r="C864" s="250" t="s">
        <v>235</v>
      </c>
      <c r="D864" s="250" t="s">
        <v>282</v>
      </c>
      <c r="K864" s="250">
        <v>0.55000000000000004</v>
      </c>
      <c r="L864" s="250">
        <v>566</v>
      </c>
    </row>
    <row r="865" spans="1:12" ht="15" customHeight="1" x14ac:dyDescent="0.2">
      <c r="B865" s="253" t="s">
        <v>4132</v>
      </c>
      <c r="C865" s="250" t="s">
        <v>235</v>
      </c>
      <c r="D865" s="250" t="s">
        <v>60</v>
      </c>
      <c r="K865" s="250">
        <v>0.55000000000000004</v>
      </c>
      <c r="L865" s="250">
        <v>109</v>
      </c>
    </row>
    <row r="866" spans="1:12" ht="15" customHeight="1" x14ac:dyDescent="0.2">
      <c r="B866" s="253" t="s">
        <v>4133</v>
      </c>
      <c r="C866" s="250" t="s">
        <v>235</v>
      </c>
      <c r="D866" s="250" t="s">
        <v>60</v>
      </c>
      <c r="K866" s="250">
        <v>0.55000000000000004</v>
      </c>
      <c r="L866" s="250">
        <v>109</v>
      </c>
    </row>
    <row r="867" spans="1:12" ht="15" customHeight="1" x14ac:dyDescent="0.2">
      <c r="B867" s="253" t="s">
        <v>4134</v>
      </c>
      <c r="C867" s="250" t="s">
        <v>235</v>
      </c>
      <c r="D867" s="250" t="s">
        <v>60</v>
      </c>
      <c r="K867" s="250">
        <v>0.55000000000000004</v>
      </c>
      <c r="L867" s="250">
        <v>109</v>
      </c>
    </row>
    <row r="868" spans="1:12" ht="15" customHeight="1" x14ac:dyDescent="0.2">
      <c r="B868" s="253" t="s">
        <v>3902</v>
      </c>
      <c r="C868" s="250" t="s">
        <v>235</v>
      </c>
      <c r="D868" s="250" t="s">
        <v>60</v>
      </c>
      <c r="K868" s="250">
        <v>0.55000000000000004</v>
      </c>
      <c r="L868" s="250">
        <v>109</v>
      </c>
    </row>
    <row r="869" spans="1:12" ht="15" customHeight="1" x14ac:dyDescent="0.2">
      <c r="B869" s="253" t="s">
        <v>4135</v>
      </c>
      <c r="C869" s="250" t="s">
        <v>235</v>
      </c>
      <c r="D869" s="250" t="s">
        <v>60</v>
      </c>
      <c r="K869" s="250">
        <v>0.55000000000000004</v>
      </c>
      <c r="L869" s="250">
        <v>109</v>
      </c>
    </row>
    <row r="870" spans="1:12" ht="15" customHeight="1" x14ac:dyDescent="0.2">
      <c r="A870" s="252">
        <v>710174000000001</v>
      </c>
      <c r="B870" s="253" t="s">
        <v>286</v>
      </c>
      <c r="C870" s="250" t="s">
        <v>235</v>
      </c>
      <c r="D870" s="250" t="s">
        <v>60</v>
      </c>
      <c r="K870" s="250">
        <v>0.55000000000000004</v>
      </c>
      <c r="L870" s="250">
        <v>241</v>
      </c>
    </row>
    <row r="871" spans="1:12" ht="15" customHeight="1" x14ac:dyDescent="0.2">
      <c r="A871" s="252">
        <v>710174000000002</v>
      </c>
      <c r="B871" s="253" t="s">
        <v>287</v>
      </c>
      <c r="C871" s="250" t="s">
        <v>235</v>
      </c>
      <c r="D871" s="250" t="s">
        <v>60</v>
      </c>
      <c r="K871" s="250">
        <v>0.55000000000000004</v>
      </c>
      <c r="L871" s="250">
        <v>251</v>
      </c>
    </row>
    <row r="872" spans="1:12" ht="15" customHeight="1" x14ac:dyDescent="0.2">
      <c r="A872" s="252">
        <v>710174000000003</v>
      </c>
      <c r="B872" s="253" t="s">
        <v>288</v>
      </c>
      <c r="C872" s="250" t="s">
        <v>235</v>
      </c>
      <c r="D872" s="250" t="s">
        <v>60</v>
      </c>
      <c r="K872" s="250">
        <v>0.55000000000000004</v>
      </c>
      <c r="L872" s="250">
        <v>401</v>
      </c>
    </row>
    <row r="873" spans="1:12" ht="15" customHeight="1" x14ac:dyDescent="0.2">
      <c r="A873" s="252">
        <v>710174000000004</v>
      </c>
      <c r="B873" s="253" t="s">
        <v>289</v>
      </c>
      <c r="C873" s="250" t="s">
        <v>235</v>
      </c>
      <c r="D873" s="250" t="s">
        <v>60</v>
      </c>
      <c r="K873" s="250">
        <v>0.55000000000000004</v>
      </c>
      <c r="L873" s="250">
        <v>412</v>
      </c>
    </row>
    <row r="874" spans="1:12" ht="15" customHeight="1" x14ac:dyDescent="0.2">
      <c r="A874" s="252">
        <v>710174000000005</v>
      </c>
      <c r="B874" s="253" t="s">
        <v>290</v>
      </c>
      <c r="C874" s="250" t="s">
        <v>235</v>
      </c>
      <c r="D874" s="250" t="s">
        <v>60</v>
      </c>
      <c r="K874" s="250">
        <v>0.55000000000000004</v>
      </c>
      <c r="L874" s="250">
        <v>582</v>
      </c>
    </row>
    <row r="875" spans="1:12" ht="15" customHeight="1" x14ac:dyDescent="0.2">
      <c r="A875" s="252">
        <v>710174000000006</v>
      </c>
      <c r="B875" s="253" t="s">
        <v>291</v>
      </c>
      <c r="C875" s="250" t="s">
        <v>235</v>
      </c>
      <c r="D875" s="250" t="s">
        <v>60</v>
      </c>
      <c r="K875" s="250">
        <v>0.55000000000000004</v>
      </c>
      <c r="L875" s="250">
        <v>592</v>
      </c>
    </row>
    <row r="876" spans="1:12" ht="15" customHeight="1" x14ac:dyDescent="0.2">
      <c r="A876" s="252">
        <v>710174000000007</v>
      </c>
      <c r="B876" s="253" t="s">
        <v>292</v>
      </c>
      <c r="C876" s="250" t="s">
        <v>235</v>
      </c>
      <c r="D876" s="250" t="s">
        <v>60</v>
      </c>
      <c r="K876" s="250">
        <v>0.55000000000000004</v>
      </c>
      <c r="L876" s="250">
        <v>823</v>
      </c>
    </row>
    <row r="877" spans="1:12" ht="15" customHeight="1" x14ac:dyDescent="0.2">
      <c r="A877" s="252">
        <v>710174000000008</v>
      </c>
      <c r="B877" s="253" t="s">
        <v>293</v>
      </c>
      <c r="C877" s="250" t="s">
        <v>235</v>
      </c>
      <c r="D877" s="250" t="s">
        <v>60</v>
      </c>
      <c r="K877" s="250">
        <v>0.55000000000000004</v>
      </c>
      <c r="L877" s="250">
        <v>1642</v>
      </c>
    </row>
    <row r="878" spans="1:12" ht="15" customHeight="1" x14ac:dyDescent="0.2">
      <c r="A878" s="252">
        <v>710174000000009</v>
      </c>
      <c r="B878" s="253" t="s">
        <v>294</v>
      </c>
      <c r="C878" s="250" t="s">
        <v>235</v>
      </c>
      <c r="D878" s="250" t="s">
        <v>60</v>
      </c>
      <c r="K878" s="250">
        <v>0.55000000000000004</v>
      </c>
      <c r="L878" s="250">
        <v>1848</v>
      </c>
    </row>
    <row r="879" spans="1:12" ht="15" customHeight="1" x14ac:dyDescent="0.2">
      <c r="A879" s="252">
        <v>710174000000010</v>
      </c>
      <c r="B879" s="253" t="s">
        <v>295</v>
      </c>
      <c r="C879" s="250" t="s">
        <v>235</v>
      </c>
      <c r="D879" s="250" t="s">
        <v>60</v>
      </c>
      <c r="K879" s="250">
        <v>0.55000000000000004</v>
      </c>
      <c r="L879" s="250">
        <v>2121</v>
      </c>
    </row>
    <row r="880" spans="1:12" ht="15" customHeight="1" x14ac:dyDescent="0.2">
      <c r="A880" s="252">
        <v>710174000000011</v>
      </c>
      <c r="B880" s="253" t="s">
        <v>296</v>
      </c>
      <c r="C880" s="250" t="s">
        <v>235</v>
      </c>
      <c r="D880" s="250" t="s">
        <v>60</v>
      </c>
      <c r="K880" s="250">
        <v>0.55000000000000004</v>
      </c>
      <c r="L880" s="250">
        <v>6031</v>
      </c>
    </row>
    <row r="881" spans="1:12" ht="15" customHeight="1" x14ac:dyDescent="0.2">
      <c r="A881" s="252">
        <v>710174000000012</v>
      </c>
      <c r="B881" s="253" t="s">
        <v>297</v>
      </c>
      <c r="C881" s="250" t="s">
        <v>235</v>
      </c>
      <c r="D881" s="250" t="s">
        <v>60</v>
      </c>
      <c r="K881" s="250">
        <v>0.55000000000000004</v>
      </c>
      <c r="L881" s="250">
        <v>6168</v>
      </c>
    </row>
    <row r="882" spans="1:12" ht="15" customHeight="1" x14ac:dyDescent="0.2">
      <c r="A882" s="252">
        <v>710174000000013</v>
      </c>
      <c r="B882" s="253" t="s">
        <v>298</v>
      </c>
      <c r="C882" s="250" t="s">
        <v>235</v>
      </c>
      <c r="D882" s="250" t="s">
        <v>60</v>
      </c>
      <c r="K882" s="250">
        <v>0.55000000000000004</v>
      </c>
      <c r="L882" s="250">
        <v>6989</v>
      </c>
    </row>
    <row r="883" spans="1:12" ht="15" customHeight="1" x14ac:dyDescent="0.2">
      <c r="B883" s="253" t="s">
        <v>2116</v>
      </c>
      <c r="C883" s="250" t="s">
        <v>235</v>
      </c>
      <c r="D883" s="250" t="s">
        <v>60</v>
      </c>
      <c r="K883" s="250">
        <v>0.55000000000000004</v>
      </c>
      <c r="L883" s="250">
        <v>137</v>
      </c>
    </row>
    <row r="884" spans="1:12" ht="15" customHeight="1" x14ac:dyDescent="0.2">
      <c r="B884" s="253" t="s">
        <v>2117</v>
      </c>
      <c r="C884" s="250" t="s">
        <v>235</v>
      </c>
      <c r="D884" s="250" t="s">
        <v>60</v>
      </c>
      <c r="K884" s="250">
        <v>0.55000000000000004</v>
      </c>
      <c r="L884" s="250">
        <v>137</v>
      </c>
    </row>
    <row r="885" spans="1:12" ht="15" customHeight="1" x14ac:dyDescent="0.2">
      <c r="B885" s="253" t="s">
        <v>2118</v>
      </c>
      <c r="C885" s="250" t="s">
        <v>235</v>
      </c>
      <c r="D885" s="250" t="s">
        <v>60</v>
      </c>
      <c r="K885" s="250">
        <v>0.55000000000000004</v>
      </c>
      <c r="L885" s="250">
        <v>137</v>
      </c>
    </row>
    <row r="886" spans="1:12" ht="15" customHeight="1" x14ac:dyDescent="0.2">
      <c r="B886" s="253" t="s">
        <v>2119</v>
      </c>
      <c r="C886" s="250" t="s">
        <v>235</v>
      </c>
      <c r="D886" s="250" t="s">
        <v>60</v>
      </c>
      <c r="K886" s="250">
        <v>0.55000000000000004</v>
      </c>
      <c r="L886" s="250">
        <v>137</v>
      </c>
    </row>
    <row r="887" spans="1:12" ht="15" customHeight="1" x14ac:dyDescent="0.2">
      <c r="B887" s="253" t="s">
        <v>2120</v>
      </c>
      <c r="C887" s="250" t="s">
        <v>235</v>
      </c>
      <c r="D887" s="250" t="s">
        <v>60</v>
      </c>
      <c r="K887" s="250">
        <v>0.55000000000000004</v>
      </c>
      <c r="L887" s="250">
        <v>137</v>
      </c>
    </row>
    <row r="888" spans="1:12" ht="15" customHeight="1" x14ac:dyDescent="0.2">
      <c r="B888" s="253" t="s">
        <v>2121</v>
      </c>
      <c r="C888" s="250" t="s">
        <v>235</v>
      </c>
      <c r="D888" s="250" t="s">
        <v>60</v>
      </c>
      <c r="K888" s="250">
        <v>0.55000000000000004</v>
      </c>
      <c r="L888" s="250">
        <v>260</v>
      </c>
    </row>
    <row r="889" spans="1:12" ht="15" customHeight="1" x14ac:dyDescent="0.2">
      <c r="B889" s="253" t="s">
        <v>2122</v>
      </c>
      <c r="C889" s="250" t="s">
        <v>235</v>
      </c>
      <c r="D889" s="250" t="s">
        <v>60</v>
      </c>
      <c r="K889" s="250">
        <v>0.55000000000000004</v>
      </c>
      <c r="L889" s="250">
        <v>281</v>
      </c>
    </row>
    <row r="890" spans="1:12" ht="15" customHeight="1" x14ac:dyDescent="0.2">
      <c r="B890" s="253" t="s">
        <v>2123</v>
      </c>
      <c r="C890" s="250" t="s">
        <v>235</v>
      </c>
      <c r="D890" s="250" t="s">
        <v>60</v>
      </c>
      <c r="K890" s="250">
        <v>0.55000000000000004</v>
      </c>
      <c r="L890" s="250">
        <v>422</v>
      </c>
    </row>
    <row r="891" spans="1:12" ht="15" customHeight="1" x14ac:dyDescent="0.2">
      <c r="B891" s="253" t="s">
        <v>2124</v>
      </c>
      <c r="C891" s="250" t="s">
        <v>235</v>
      </c>
      <c r="D891" s="250" t="s">
        <v>60</v>
      </c>
      <c r="K891" s="250">
        <v>0.55000000000000004</v>
      </c>
      <c r="L891" s="250">
        <v>431</v>
      </c>
    </row>
    <row r="892" spans="1:12" ht="15" customHeight="1" x14ac:dyDescent="0.2">
      <c r="B892" s="253" t="s">
        <v>2125</v>
      </c>
      <c r="C892" s="250" t="s">
        <v>235</v>
      </c>
      <c r="D892" s="250" t="s">
        <v>60</v>
      </c>
      <c r="K892" s="250">
        <v>0.55000000000000004</v>
      </c>
      <c r="L892" s="250">
        <v>602</v>
      </c>
    </row>
    <row r="893" spans="1:12" ht="15" customHeight="1" x14ac:dyDescent="0.2">
      <c r="B893" s="253" t="s">
        <v>2115</v>
      </c>
      <c r="C893" s="250" t="s">
        <v>235</v>
      </c>
      <c r="D893" s="250" t="s">
        <v>60</v>
      </c>
      <c r="K893" s="250">
        <v>0.55000000000000004</v>
      </c>
      <c r="L893" s="250">
        <v>612</v>
      </c>
    </row>
    <row r="894" spans="1:12" ht="15" customHeight="1" x14ac:dyDescent="0.2">
      <c r="B894" s="253" t="s">
        <v>2126</v>
      </c>
      <c r="C894" s="250" t="s">
        <v>235</v>
      </c>
      <c r="D894" s="250" t="s">
        <v>60</v>
      </c>
      <c r="K894" s="250">
        <v>0.55000000000000004</v>
      </c>
      <c r="L894" s="250">
        <v>843</v>
      </c>
    </row>
    <row r="895" spans="1:12" ht="15" customHeight="1" x14ac:dyDescent="0.2">
      <c r="B895" s="253" t="s">
        <v>2127</v>
      </c>
      <c r="C895" s="250" t="s">
        <v>235</v>
      </c>
      <c r="D895" s="250" t="s">
        <v>60</v>
      </c>
      <c r="K895" s="250">
        <v>0.55000000000000004</v>
      </c>
      <c r="L895" s="250">
        <v>1848</v>
      </c>
    </row>
    <row r="896" spans="1:12" ht="15" customHeight="1" x14ac:dyDescent="0.2">
      <c r="B896" s="253" t="s">
        <v>2128</v>
      </c>
      <c r="C896" s="250" t="s">
        <v>235</v>
      </c>
      <c r="D896" s="250" t="s">
        <v>60</v>
      </c>
      <c r="K896" s="250">
        <v>0.55000000000000004</v>
      </c>
      <c r="L896" s="250">
        <v>1983</v>
      </c>
    </row>
    <row r="897" spans="1:12" ht="15" customHeight="1" x14ac:dyDescent="0.2">
      <c r="B897" s="253" t="s">
        <v>2129</v>
      </c>
      <c r="C897" s="250" t="s">
        <v>235</v>
      </c>
      <c r="D897" s="250" t="s">
        <v>60</v>
      </c>
      <c r="K897" s="250">
        <v>0.55000000000000004</v>
      </c>
      <c r="L897" s="250">
        <v>2394</v>
      </c>
    </row>
    <row r="898" spans="1:12" ht="15" customHeight="1" x14ac:dyDescent="0.2">
      <c r="B898" s="253" t="s">
        <v>2130</v>
      </c>
      <c r="C898" s="250" t="s">
        <v>235</v>
      </c>
      <c r="D898" s="250" t="s">
        <v>60</v>
      </c>
      <c r="K898" s="250">
        <v>0.55000000000000004</v>
      </c>
      <c r="L898" s="250">
        <v>6168</v>
      </c>
    </row>
    <row r="899" spans="1:12" ht="15" customHeight="1" x14ac:dyDescent="0.2">
      <c r="B899" s="253" t="s">
        <v>2131</v>
      </c>
      <c r="C899" s="250" t="s">
        <v>235</v>
      </c>
      <c r="D899" s="250" t="s">
        <v>60</v>
      </c>
      <c r="K899" s="250">
        <v>0.55000000000000004</v>
      </c>
      <c r="L899" s="250">
        <v>6305</v>
      </c>
    </row>
    <row r="900" spans="1:12" ht="15" customHeight="1" x14ac:dyDescent="0.2">
      <c r="B900" s="253" t="s">
        <v>2132</v>
      </c>
      <c r="C900" s="250" t="s">
        <v>235</v>
      </c>
      <c r="D900" s="250" t="s">
        <v>60</v>
      </c>
      <c r="K900" s="250">
        <v>0.55000000000000004</v>
      </c>
      <c r="L900" s="250">
        <v>7263</v>
      </c>
    </row>
    <row r="901" spans="1:12" ht="15" customHeight="1" x14ac:dyDescent="0.2">
      <c r="A901" s="252">
        <v>710174000000014</v>
      </c>
      <c r="B901" s="253" t="s">
        <v>299</v>
      </c>
      <c r="C901" s="250" t="s">
        <v>235</v>
      </c>
      <c r="D901" s="250" t="s">
        <v>60</v>
      </c>
      <c r="K901" s="250">
        <v>0.55000000000000004</v>
      </c>
      <c r="L901" s="250">
        <v>372</v>
      </c>
    </row>
    <row r="902" spans="1:12" ht="15" customHeight="1" x14ac:dyDescent="0.2">
      <c r="A902" s="252">
        <v>710174000000015</v>
      </c>
      <c r="B902" s="253" t="s">
        <v>300</v>
      </c>
      <c r="C902" s="250" t="s">
        <v>235</v>
      </c>
      <c r="D902" s="250" t="s">
        <v>60</v>
      </c>
      <c r="K902" s="250">
        <v>0.55000000000000004</v>
      </c>
      <c r="L902" s="250">
        <v>381</v>
      </c>
    </row>
    <row r="903" spans="1:12" ht="15" customHeight="1" x14ac:dyDescent="0.2">
      <c r="A903" s="252">
        <v>710174000000016</v>
      </c>
      <c r="B903" s="253" t="s">
        <v>301</v>
      </c>
      <c r="C903" s="250" t="s">
        <v>235</v>
      </c>
      <c r="D903" s="250" t="s">
        <v>60</v>
      </c>
      <c r="K903" s="250">
        <v>0.55000000000000004</v>
      </c>
      <c r="L903" s="250">
        <v>501</v>
      </c>
    </row>
    <row r="904" spans="1:12" ht="15" customHeight="1" x14ac:dyDescent="0.2">
      <c r="A904" s="252">
        <v>710174000000017</v>
      </c>
      <c r="B904" s="253" t="s">
        <v>302</v>
      </c>
      <c r="C904" s="250" t="s">
        <v>235</v>
      </c>
      <c r="D904" s="250" t="s">
        <v>60</v>
      </c>
      <c r="K904" s="250">
        <v>0.55000000000000004</v>
      </c>
      <c r="L904" s="250">
        <v>531</v>
      </c>
    </row>
    <row r="905" spans="1:12" ht="15" customHeight="1" x14ac:dyDescent="0.2">
      <c r="A905" s="252">
        <v>710174000000018</v>
      </c>
      <c r="B905" s="253" t="s">
        <v>303</v>
      </c>
      <c r="C905" s="250" t="s">
        <v>235</v>
      </c>
      <c r="D905" s="250" t="s">
        <v>60</v>
      </c>
      <c r="K905" s="250">
        <v>0.55000000000000004</v>
      </c>
      <c r="L905" s="250">
        <v>763</v>
      </c>
    </row>
    <row r="906" spans="1:12" ht="15" customHeight="1" x14ac:dyDescent="0.2">
      <c r="A906" s="252">
        <v>710174000000019</v>
      </c>
      <c r="B906" s="253" t="s">
        <v>304</v>
      </c>
      <c r="C906" s="250" t="s">
        <v>235</v>
      </c>
      <c r="D906" s="250" t="s">
        <v>60</v>
      </c>
      <c r="K906" s="250">
        <v>0.55000000000000004</v>
      </c>
      <c r="L906" s="250">
        <v>782</v>
      </c>
    </row>
    <row r="907" spans="1:12" ht="15" customHeight="1" x14ac:dyDescent="0.2">
      <c r="A907" s="252">
        <v>710174400000006</v>
      </c>
      <c r="B907" s="253" t="s">
        <v>305</v>
      </c>
      <c r="C907" s="250" t="s">
        <v>235</v>
      </c>
      <c r="D907" s="250" t="s">
        <v>60</v>
      </c>
      <c r="K907" s="250">
        <v>0.55000000000000004</v>
      </c>
      <c r="L907" s="250">
        <v>1003</v>
      </c>
    </row>
    <row r="908" spans="1:12" ht="15" customHeight="1" x14ac:dyDescent="0.2">
      <c r="A908" s="252">
        <v>710174000000020</v>
      </c>
      <c r="B908" s="253" t="s">
        <v>306</v>
      </c>
      <c r="C908" s="250" t="s">
        <v>235</v>
      </c>
      <c r="D908" s="250" t="s">
        <v>60</v>
      </c>
      <c r="K908" s="250">
        <v>0.55000000000000004</v>
      </c>
      <c r="L908" s="250">
        <v>2326</v>
      </c>
    </row>
    <row r="909" spans="1:12" ht="15" customHeight="1" x14ac:dyDescent="0.2">
      <c r="A909" s="252">
        <v>710174000000021</v>
      </c>
      <c r="B909" s="253" t="s">
        <v>307</v>
      </c>
      <c r="C909" s="250" t="s">
        <v>235</v>
      </c>
      <c r="D909" s="250" t="s">
        <v>60</v>
      </c>
      <c r="K909" s="250">
        <v>0.55000000000000004</v>
      </c>
      <c r="L909" s="250">
        <v>2668</v>
      </c>
    </row>
    <row r="910" spans="1:12" ht="15" customHeight="1" x14ac:dyDescent="0.2">
      <c r="A910" s="252">
        <v>710174000000022</v>
      </c>
      <c r="B910" s="253" t="s">
        <v>308</v>
      </c>
      <c r="C910" s="250" t="s">
        <v>235</v>
      </c>
      <c r="D910" s="250" t="s">
        <v>60</v>
      </c>
      <c r="K910" s="250">
        <v>0.55000000000000004</v>
      </c>
      <c r="L910" s="250">
        <v>2942</v>
      </c>
    </row>
    <row r="911" spans="1:12" ht="15" customHeight="1" x14ac:dyDescent="0.2">
      <c r="A911" s="252">
        <v>710174000000023</v>
      </c>
      <c r="B911" s="253" t="s">
        <v>309</v>
      </c>
      <c r="C911" s="250" t="s">
        <v>235</v>
      </c>
      <c r="D911" s="250" t="s">
        <v>60</v>
      </c>
      <c r="K911" s="250">
        <v>0.55000000000000004</v>
      </c>
      <c r="L911" s="250">
        <v>7948</v>
      </c>
    </row>
    <row r="912" spans="1:12" ht="15" customHeight="1" x14ac:dyDescent="0.2">
      <c r="A912" s="252">
        <v>710174000000024</v>
      </c>
      <c r="B912" s="253" t="s">
        <v>310</v>
      </c>
      <c r="C912" s="250" t="s">
        <v>235</v>
      </c>
      <c r="D912" s="250" t="s">
        <v>60</v>
      </c>
      <c r="K912" s="250">
        <v>0.55000000000000004</v>
      </c>
      <c r="L912" s="250">
        <v>8084</v>
      </c>
    </row>
    <row r="913" spans="1:12" ht="15" customHeight="1" x14ac:dyDescent="0.2">
      <c r="A913" s="252">
        <v>710174000000025</v>
      </c>
      <c r="B913" s="253" t="s">
        <v>311</v>
      </c>
      <c r="C913" s="250" t="s">
        <v>235</v>
      </c>
      <c r="D913" s="250" t="s">
        <v>60</v>
      </c>
      <c r="K913" s="250">
        <v>0.55000000000000004</v>
      </c>
      <c r="L913" s="250">
        <v>9316</v>
      </c>
    </row>
    <row r="914" spans="1:12" ht="15" customHeight="1" x14ac:dyDescent="0.2">
      <c r="A914" s="252">
        <v>710174000000398</v>
      </c>
      <c r="B914" s="253" t="s">
        <v>312</v>
      </c>
      <c r="C914" s="250" t="s">
        <v>235</v>
      </c>
      <c r="D914" s="250" t="s">
        <v>60</v>
      </c>
      <c r="K914" s="250">
        <v>0.55000000000000004</v>
      </c>
      <c r="L914" s="250">
        <v>109</v>
      </c>
    </row>
    <row r="915" spans="1:12" ht="15" customHeight="1" x14ac:dyDescent="0.2">
      <c r="A915" s="252">
        <v>710174000000404</v>
      </c>
      <c r="B915" s="253" t="s">
        <v>313</v>
      </c>
      <c r="C915" s="250" t="s">
        <v>235</v>
      </c>
      <c r="D915" s="250" t="s">
        <v>60</v>
      </c>
      <c r="K915" s="250">
        <v>0.55000000000000004</v>
      </c>
      <c r="L915" s="250">
        <v>114</v>
      </c>
    </row>
    <row r="916" spans="1:12" ht="15" customHeight="1" x14ac:dyDescent="0.2">
      <c r="A916" s="252">
        <v>710174400000001</v>
      </c>
      <c r="B916" s="253" t="s">
        <v>314</v>
      </c>
      <c r="C916" s="250" t="s">
        <v>235</v>
      </c>
      <c r="D916" s="250" t="s">
        <v>315</v>
      </c>
      <c r="K916" s="250">
        <v>0.55000000000000004</v>
      </c>
      <c r="L916" s="250">
        <v>2428</v>
      </c>
    </row>
    <row r="917" spans="1:12" ht="15" customHeight="1" x14ac:dyDescent="0.2">
      <c r="A917" s="252">
        <v>710174400000002</v>
      </c>
      <c r="B917" s="253" t="s">
        <v>316</v>
      </c>
      <c r="C917" s="250" t="s">
        <v>235</v>
      </c>
      <c r="D917" s="250" t="s">
        <v>315</v>
      </c>
      <c r="K917" s="250">
        <v>0.55000000000000004</v>
      </c>
      <c r="L917" s="250">
        <v>2428</v>
      </c>
    </row>
    <row r="918" spans="1:12" ht="15" customHeight="1" x14ac:dyDescent="0.2">
      <c r="A918" s="252">
        <v>710174400000003</v>
      </c>
      <c r="B918" s="253" t="s">
        <v>317</v>
      </c>
      <c r="C918" s="250" t="s">
        <v>235</v>
      </c>
      <c r="D918" s="250" t="s">
        <v>315</v>
      </c>
      <c r="K918" s="250">
        <v>0.55000000000000004</v>
      </c>
      <c r="L918" s="250">
        <v>2956</v>
      </c>
    </row>
    <row r="919" spans="1:12" ht="15" customHeight="1" x14ac:dyDescent="0.2">
      <c r="A919" s="252">
        <v>710174400000004</v>
      </c>
      <c r="B919" s="253" t="s">
        <v>318</v>
      </c>
      <c r="C919" s="250" t="s">
        <v>235</v>
      </c>
      <c r="D919" s="250" t="s">
        <v>315</v>
      </c>
      <c r="K919" s="250">
        <v>0.55000000000000004</v>
      </c>
      <c r="L919" s="250">
        <v>4751</v>
      </c>
    </row>
    <row r="920" spans="1:12" ht="15" customHeight="1" x14ac:dyDescent="0.2">
      <c r="A920" s="252">
        <v>710174400000005</v>
      </c>
      <c r="B920" s="253" t="s">
        <v>319</v>
      </c>
      <c r="C920" s="250" t="s">
        <v>235</v>
      </c>
      <c r="D920" s="250" t="s">
        <v>315</v>
      </c>
      <c r="K920" s="250">
        <v>0.55000000000000004</v>
      </c>
      <c r="L920" s="250">
        <v>5384</v>
      </c>
    </row>
    <row r="921" spans="1:12" ht="15" customHeight="1" x14ac:dyDescent="0.2">
      <c r="A921" s="252">
        <v>710174400000014</v>
      </c>
      <c r="B921" s="253" t="s">
        <v>320</v>
      </c>
      <c r="C921" s="250" t="s">
        <v>235</v>
      </c>
      <c r="D921" s="250" t="s">
        <v>315</v>
      </c>
      <c r="K921" s="250">
        <v>0.55000000000000004</v>
      </c>
      <c r="L921" s="250">
        <v>10980</v>
      </c>
    </row>
    <row r="922" spans="1:12" ht="15" customHeight="1" x14ac:dyDescent="0.2">
      <c r="A922" s="252">
        <v>710174400000020</v>
      </c>
      <c r="B922" s="253" t="s">
        <v>321</v>
      </c>
      <c r="C922" s="250" t="s">
        <v>235</v>
      </c>
      <c r="D922" s="250" t="s">
        <v>315</v>
      </c>
      <c r="K922" s="250">
        <v>0.55000000000000004</v>
      </c>
      <c r="L922" s="250">
        <v>10980</v>
      </c>
    </row>
    <row r="923" spans="1:12" ht="15" customHeight="1" x14ac:dyDescent="0.2">
      <c r="A923" s="252">
        <v>710174400000021</v>
      </c>
      <c r="B923" s="253" t="s">
        <v>322</v>
      </c>
      <c r="C923" s="250" t="s">
        <v>235</v>
      </c>
      <c r="D923" s="250" t="s">
        <v>315</v>
      </c>
      <c r="K923" s="250">
        <v>0.55000000000000004</v>
      </c>
      <c r="L923" s="250">
        <v>12036</v>
      </c>
    </row>
    <row r="924" spans="1:12" ht="15" customHeight="1" x14ac:dyDescent="0.2">
      <c r="A924" s="252">
        <v>710174400000022</v>
      </c>
      <c r="B924" s="253" t="s">
        <v>323</v>
      </c>
      <c r="C924" s="250" t="s">
        <v>235</v>
      </c>
      <c r="D924" s="250" t="s">
        <v>315</v>
      </c>
      <c r="K924" s="250">
        <v>0.55000000000000004</v>
      </c>
      <c r="L924" s="250">
        <v>14147</v>
      </c>
    </row>
    <row r="925" spans="1:12" ht="15" customHeight="1" x14ac:dyDescent="0.2">
      <c r="A925" s="252">
        <v>710174400000023</v>
      </c>
      <c r="B925" s="253" t="s">
        <v>324</v>
      </c>
      <c r="C925" s="250" t="s">
        <v>235</v>
      </c>
      <c r="D925" s="250" t="s">
        <v>315</v>
      </c>
      <c r="K925" s="250">
        <v>0.55000000000000004</v>
      </c>
      <c r="L925" s="250">
        <v>21537</v>
      </c>
    </row>
    <row r="926" spans="1:12" ht="15" customHeight="1" x14ac:dyDescent="0.2">
      <c r="A926" s="252">
        <v>710174400000024</v>
      </c>
      <c r="B926" s="253" t="s">
        <v>325</v>
      </c>
      <c r="C926" s="250" t="s">
        <v>235</v>
      </c>
      <c r="D926" s="250" t="s">
        <v>315</v>
      </c>
      <c r="K926" s="250">
        <v>0.55000000000000004</v>
      </c>
      <c r="L926" s="250">
        <v>21537</v>
      </c>
    </row>
    <row r="927" spans="1:12" ht="15" customHeight="1" x14ac:dyDescent="0.2">
      <c r="A927" s="252">
        <v>710174400000037</v>
      </c>
      <c r="B927" s="253" t="s">
        <v>326</v>
      </c>
      <c r="C927" s="250" t="s">
        <v>235</v>
      </c>
      <c r="D927" s="250" t="s">
        <v>315</v>
      </c>
      <c r="K927" s="250">
        <v>0.55000000000000004</v>
      </c>
      <c r="L927" s="250">
        <v>1457</v>
      </c>
    </row>
    <row r="928" spans="1:12" ht="15" customHeight="1" x14ac:dyDescent="0.2">
      <c r="A928" s="252">
        <v>710174400000038</v>
      </c>
      <c r="B928" s="253" t="s">
        <v>327</v>
      </c>
      <c r="C928" s="250" t="s">
        <v>235</v>
      </c>
      <c r="D928" s="250" t="s">
        <v>315</v>
      </c>
      <c r="K928" s="250">
        <v>0.55000000000000004</v>
      </c>
      <c r="L928" s="250">
        <v>1457</v>
      </c>
    </row>
    <row r="929" spans="1:12" ht="15" customHeight="1" x14ac:dyDescent="0.2">
      <c r="A929" s="252">
        <v>710174400000038</v>
      </c>
      <c r="B929" s="253" t="s">
        <v>328</v>
      </c>
      <c r="C929" s="250" t="s">
        <v>235</v>
      </c>
      <c r="D929" s="250" t="s">
        <v>315</v>
      </c>
      <c r="K929" s="250">
        <v>0.55000000000000004</v>
      </c>
      <c r="L929" s="250">
        <v>1457</v>
      </c>
    </row>
    <row r="930" spans="1:12" ht="15" customHeight="1" x14ac:dyDescent="0.2">
      <c r="A930" s="252">
        <v>710174400000038</v>
      </c>
      <c r="B930" s="253" t="s">
        <v>329</v>
      </c>
      <c r="C930" s="250" t="s">
        <v>235</v>
      </c>
      <c r="D930" s="250" t="s">
        <v>315</v>
      </c>
      <c r="K930" s="250">
        <v>0.55000000000000004</v>
      </c>
      <c r="L930" s="250">
        <v>1457</v>
      </c>
    </row>
    <row r="931" spans="1:12" ht="15" customHeight="1" x14ac:dyDescent="0.2">
      <c r="A931" s="252">
        <v>710174400000039</v>
      </c>
      <c r="B931" s="253" t="s">
        <v>330</v>
      </c>
      <c r="C931" s="250" t="s">
        <v>235</v>
      </c>
      <c r="D931" s="250" t="s">
        <v>315</v>
      </c>
      <c r="K931" s="250">
        <v>0.55000000000000004</v>
      </c>
      <c r="L931" s="250">
        <v>1457</v>
      </c>
    </row>
    <row r="932" spans="1:12" ht="15" customHeight="1" x14ac:dyDescent="0.2">
      <c r="A932" s="252">
        <v>710174400000040</v>
      </c>
      <c r="B932" s="253" t="s">
        <v>331</v>
      </c>
      <c r="C932" s="250" t="s">
        <v>235</v>
      </c>
      <c r="D932" s="250" t="s">
        <v>315</v>
      </c>
      <c r="K932" s="250">
        <v>0.55000000000000004</v>
      </c>
      <c r="L932" s="250">
        <v>1457</v>
      </c>
    </row>
    <row r="933" spans="1:12" ht="15" customHeight="1" x14ac:dyDescent="0.2">
      <c r="A933" s="252">
        <v>710174400000041</v>
      </c>
      <c r="B933" s="253" t="s">
        <v>332</v>
      </c>
      <c r="C933" s="250" t="s">
        <v>235</v>
      </c>
      <c r="D933" s="250" t="s">
        <v>315</v>
      </c>
      <c r="K933" s="250">
        <v>0.55000000000000004</v>
      </c>
      <c r="L933" s="250">
        <v>1457</v>
      </c>
    </row>
    <row r="934" spans="1:12" ht="15" customHeight="1" x14ac:dyDescent="0.2">
      <c r="A934" s="248">
        <v>700059900000097</v>
      </c>
      <c r="B934" s="254" t="s">
        <v>333</v>
      </c>
      <c r="C934" s="250" t="s">
        <v>235</v>
      </c>
      <c r="D934" s="250" t="s">
        <v>162</v>
      </c>
      <c r="K934" s="250">
        <v>0.55000000000000004</v>
      </c>
      <c r="L934" s="250">
        <v>18</v>
      </c>
    </row>
    <row r="935" spans="1:12" ht="15" customHeight="1" x14ac:dyDescent="0.2">
      <c r="A935" s="252">
        <v>710168120100031</v>
      </c>
      <c r="B935" s="253" t="s">
        <v>4136</v>
      </c>
      <c r="C935" s="250" t="s">
        <v>235</v>
      </c>
      <c r="D935" s="250" t="s">
        <v>337</v>
      </c>
      <c r="K935" s="250">
        <v>0.55000000000000004</v>
      </c>
      <c r="L935" s="250">
        <v>1414</v>
      </c>
    </row>
    <row r="936" spans="1:12" ht="15" customHeight="1" x14ac:dyDescent="0.2">
      <c r="A936" s="252">
        <v>710168120150031</v>
      </c>
      <c r="B936" s="253" t="s">
        <v>4137</v>
      </c>
      <c r="C936" s="250" t="s">
        <v>235</v>
      </c>
      <c r="D936" s="250" t="s">
        <v>337</v>
      </c>
      <c r="K936" s="250">
        <v>0.55000000000000004</v>
      </c>
      <c r="L936" s="250">
        <v>2226</v>
      </c>
    </row>
    <row r="937" spans="1:12" ht="15" customHeight="1" x14ac:dyDescent="0.2">
      <c r="A937" s="252">
        <v>710168120020031</v>
      </c>
      <c r="B937" s="253" t="s">
        <v>3903</v>
      </c>
      <c r="C937" s="250" t="s">
        <v>235</v>
      </c>
      <c r="D937" s="250" t="s">
        <v>337</v>
      </c>
      <c r="K937" s="250">
        <v>0.55000000000000004</v>
      </c>
      <c r="L937" s="250">
        <v>336</v>
      </c>
    </row>
    <row r="938" spans="1:12" ht="15" customHeight="1" x14ac:dyDescent="0.2">
      <c r="A938" s="252">
        <v>710168120040031</v>
      </c>
      <c r="B938" s="253" t="s">
        <v>3904</v>
      </c>
      <c r="C938" s="250" t="s">
        <v>235</v>
      </c>
      <c r="D938" s="250" t="s">
        <v>337</v>
      </c>
      <c r="K938" s="250">
        <v>0.55000000000000004</v>
      </c>
      <c r="L938" s="250">
        <v>501</v>
      </c>
    </row>
    <row r="939" spans="1:12" ht="15" customHeight="1" x14ac:dyDescent="0.2">
      <c r="A939" s="252">
        <v>710168120060031</v>
      </c>
      <c r="B939" s="253" t="s">
        <v>3905</v>
      </c>
      <c r="C939" s="250" t="s">
        <v>235</v>
      </c>
      <c r="D939" s="250" t="s">
        <v>337</v>
      </c>
      <c r="K939" s="250">
        <v>0.55000000000000004</v>
      </c>
      <c r="L939" s="250">
        <v>822</v>
      </c>
    </row>
    <row r="940" spans="1:12" ht="15" customHeight="1" x14ac:dyDescent="0.2">
      <c r="A940" s="252">
        <v>760029900000045</v>
      </c>
      <c r="B940" s="253" t="s">
        <v>342</v>
      </c>
      <c r="C940" s="250" t="s">
        <v>235</v>
      </c>
      <c r="D940" s="250" t="s">
        <v>267</v>
      </c>
      <c r="K940" s="250">
        <v>0.55000000000000004</v>
      </c>
      <c r="L940" s="250">
        <v>36</v>
      </c>
    </row>
    <row r="941" spans="1:12" ht="15" customHeight="1" x14ac:dyDescent="0.2">
      <c r="A941" s="252">
        <v>760039900000032</v>
      </c>
      <c r="B941" s="253" t="s">
        <v>343</v>
      </c>
      <c r="C941" s="250" t="s">
        <v>235</v>
      </c>
      <c r="D941" s="250" t="s">
        <v>261</v>
      </c>
      <c r="K941" s="250">
        <v>0.55000000000000004</v>
      </c>
      <c r="L941" s="250">
        <v>36</v>
      </c>
    </row>
    <row r="942" spans="1:12" ht="15" customHeight="1" x14ac:dyDescent="0.2">
      <c r="A942" s="252">
        <v>710330210202103</v>
      </c>
      <c r="B942" s="253" t="s">
        <v>344</v>
      </c>
      <c r="C942" s="250" t="s">
        <v>235</v>
      </c>
      <c r="D942" s="250" t="s">
        <v>345</v>
      </c>
      <c r="K942" s="250">
        <v>0.55000000000000004</v>
      </c>
      <c r="L942" s="250">
        <v>148</v>
      </c>
    </row>
    <row r="943" spans="1:12" ht="15" customHeight="1" x14ac:dyDescent="0.2">
      <c r="A943" s="252">
        <v>710330210202123</v>
      </c>
      <c r="B943" s="253" t="s">
        <v>346</v>
      </c>
      <c r="C943" s="250" t="s">
        <v>235</v>
      </c>
      <c r="D943" s="250" t="s">
        <v>345</v>
      </c>
      <c r="K943" s="250">
        <v>0.55000000000000004</v>
      </c>
      <c r="L943" s="250">
        <v>164</v>
      </c>
    </row>
    <row r="944" spans="1:12" ht="15" customHeight="1" x14ac:dyDescent="0.2">
      <c r="A944" s="252">
        <v>710330210202143</v>
      </c>
      <c r="B944" s="253" t="s">
        <v>347</v>
      </c>
      <c r="C944" s="250" t="s">
        <v>235</v>
      </c>
      <c r="D944" s="250" t="s">
        <v>345</v>
      </c>
      <c r="K944" s="250">
        <v>0.55000000000000004</v>
      </c>
      <c r="L944" s="250">
        <v>179</v>
      </c>
    </row>
    <row r="945" spans="1:12" ht="15" customHeight="1" x14ac:dyDescent="0.2">
      <c r="A945" s="252">
        <v>710330210202153</v>
      </c>
      <c r="B945" s="253" t="s">
        <v>348</v>
      </c>
      <c r="C945" s="250" t="s">
        <v>235</v>
      </c>
      <c r="D945" s="250" t="s">
        <v>345</v>
      </c>
      <c r="K945" s="250">
        <v>0.55000000000000004</v>
      </c>
      <c r="L945" s="250">
        <v>190</v>
      </c>
    </row>
    <row r="946" spans="1:12" ht="15" customHeight="1" x14ac:dyDescent="0.2">
      <c r="A946" s="252">
        <v>710330210202163</v>
      </c>
      <c r="B946" s="253" t="s">
        <v>349</v>
      </c>
      <c r="C946" s="250" t="s">
        <v>235</v>
      </c>
      <c r="D946" s="250" t="s">
        <v>345</v>
      </c>
      <c r="K946" s="250">
        <v>0.55000000000000004</v>
      </c>
      <c r="L946" s="250">
        <v>205</v>
      </c>
    </row>
    <row r="947" spans="1:12" ht="15" customHeight="1" x14ac:dyDescent="0.2">
      <c r="A947" s="252">
        <v>710330210202183</v>
      </c>
      <c r="B947" s="253" t="s">
        <v>350</v>
      </c>
      <c r="C947" s="250" t="s">
        <v>235</v>
      </c>
      <c r="D947" s="250" t="s">
        <v>345</v>
      </c>
      <c r="K947" s="250">
        <v>0.55000000000000004</v>
      </c>
      <c r="L947" s="250">
        <v>230</v>
      </c>
    </row>
    <row r="948" spans="1:12" ht="15" customHeight="1" x14ac:dyDescent="0.2">
      <c r="A948" s="252">
        <v>710330200000152</v>
      </c>
      <c r="B948" s="253" t="s">
        <v>226</v>
      </c>
      <c r="C948" s="250" t="s">
        <v>235</v>
      </c>
      <c r="D948" s="250" t="s">
        <v>345</v>
      </c>
      <c r="K948" s="250">
        <v>0.55000000000000004</v>
      </c>
      <c r="L948" s="250">
        <v>254</v>
      </c>
    </row>
    <row r="949" spans="1:12" ht="15" customHeight="1" x14ac:dyDescent="0.2">
      <c r="A949" s="252">
        <v>710330210202403</v>
      </c>
      <c r="B949" s="253" t="s">
        <v>351</v>
      </c>
      <c r="C949" s="250" t="s">
        <v>235</v>
      </c>
      <c r="D949" s="250" t="s">
        <v>345</v>
      </c>
      <c r="K949" s="250">
        <v>0.55000000000000004</v>
      </c>
      <c r="L949" s="250">
        <v>304</v>
      </c>
    </row>
    <row r="950" spans="1:12" ht="15" customHeight="1" x14ac:dyDescent="0.2">
      <c r="A950" s="252">
        <v>710330210202503</v>
      </c>
      <c r="B950" s="253" t="s">
        <v>352</v>
      </c>
      <c r="C950" s="250" t="s">
        <v>235</v>
      </c>
      <c r="D950" s="250" t="s">
        <v>345</v>
      </c>
      <c r="K950" s="250">
        <v>0.55000000000000004</v>
      </c>
      <c r="L950" s="250">
        <v>318</v>
      </c>
    </row>
    <row r="951" spans="1:12" ht="15" customHeight="1" x14ac:dyDescent="0.2">
      <c r="A951" s="252">
        <v>710330210203003</v>
      </c>
      <c r="B951" s="253" t="s">
        <v>353</v>
      </c>
      <c r="C951" s="250" t="s">
        <v>235</v>
      </c>
      <c r="D951" s="250" t="s">
        <v>345</v>
      </c>
      <c r="K951" s="250">
        <v>0.55000000000000004</v>
      </c>
      <c r="L951" s="250">
        <v>383</v>
      </c>
    </row>
    <row r="952" spans="1:12" ht="15" customHeight="1" x14ac:dyDescent="0.2">
      <c r="A952" s="252">
        <v>710330200000040</v>
      </c>
      <c r="B952" s="253" t="s">
        <v>354</v>
      </c>
      <c r="C952" s="250" t="s">
        <v>235</v>
      </c>
      <c r="D952" s="250" t="s">
        <v>345</v>
      </c>
      <c r="K952" s="250">
        <v>0.55000000000000004</v>
      </c>
      <c r="L952" s="250">
        <v>500</v>
      </c>
    </row>
    <row r="953" spans="1:12" ht="15" customHeight="1" x14ac:dyDescent="0.2">
      <c r="A953" s="252">
        <v>710330210302103</v>
      </c>
      <c r="B953" s="253" t="s">
        <v>355</v>
      </c>
      <c r="C953" s="250" t="s">
        <v>235</v>
      </c>
      <c r="D953" s="250" t="s">
        <v>345</v>
      </c>
      <c r="K953" s="250">
        <v>0.55000000000000004</v>
      </c>
      <c r="L953" s="250">
        <v>148</v>
      </c>
    </row>
    <row r="954" spans="1:12" ht="15" customHeight="1" x14ac:dyDescent="0.2">
      <c r="A954" s="252">
        <v>710330210302123</v>
      </c>
      <c r="B954" s="253" t="s">
        <v>356</v>
      </c>
      <c r="C954" s="250" t="s">
        <v>235</v>
      </c>
      <c r="D954" s="250" t="s">
        <v>345</v>
      </c>
      <c r="K954" s="250">
        <v>0.55000000000000004</v>
      </c>
      <c r="L954" s="250">
        <v>164</v>
      </c>
    </row>
    <row r="955" spans="1:12" ht="15" customHeight="1" x14ac:dyDescent="0.2">
      <c r="A955" s="252">
        <v>710330210302143</v>
      </c>
      <c r="B955" s="253" t="s">
        <v>357</v>
      </c>
      <c r="C955" s="250" t="s">
        <v>235</v>
      </c>
      <c r="D955" s="250" t="s">
        <v>345</v>
      </c>
      <c r="K955" s="250">
        <v>0.55000000000000004</v>
      </c>
      <c r="L955" s="250">
        <v>179</v>
      </c>
    </row>
    <row r="956" spans="1:12" ht="15" customHeight="1" x14ac:dyDescent="0.2">
      <c r="A956" s="252">
        <v>710330210302153</v>
      </c>
      <c r="B956" s="253" t="s">
        <v>358</v>
      </c>
      <c r="C956" s="250" t="s">
        <v>235</v>
      </c>
      <c r="D956" s="250" t="s">
        <v>345</v>
      </c>
      <c r="K956" s="250">
        <v>0.55000000000000004</v>
      </c>
      <c r="L956" s="250">
        <v>190</v>
      </c>
    </row>
    <row r="957" spans="1:12" ht="15" customHeight="1" x14ac:dyDescent="0.2">
      <c r="A957" s="252">
        <v>710330210302163</v>
      </c>
      <c r="B957" s="253" t="s">
        <v>359</v>
      </c>
      <c r="C957" s="250" t="s">
        <v>235</v>
      </c>
      <c r="D957" s="250" t="s">
        <v>345</v>
      </c>
      <c r="K957" s="250">
        <v>0.55000000000000004</v>
      </c>
      <c r="L957" s="250">
        <v>205</v>
      </c>
    </row>
    <row r="958" spans="1:12" ht="15" customHeight="1" x14ac:dyDescent="0.2">
      <c r="A958" s="252">
        <v>710330210302183</v>
      </c>
      <c r="B958" s="253" t="s">
        <v>360</v>
      </c>
      <c r="C958" s="250" t="s">
        <v>235</v>
      </c>
      <c r="D958" s="250" t="s">
        <v>345</v>
      </c>
      <c r="K958" s="250">
        <v>0.55000000000000004</v>
      </c>
      <c r="L958" s="250">
        <v>230</v>
      </c>
    </row>
    <row r="959" spans="1:12" ht="15" customHeight="1" x14ac:dyDescent="0.2">
      <c r="A959" s="252">
        <v>710330200000154</v>
      </c>
      <c r="B959" s="253" t="s">
        <v>361</v>
      </c>
      <c r="C959" s="250" t="s">
        <v>235</v>
      </c>
      <c r="D959" s="250" t="s">
        <v>345</v>
      </c>
      <c r="K959" s="250">
        <v>0.55000000000000004</v>
      </c>
      <c r="L959" s="250">
        <v>254</v>
      </c>
    </row>
    <row r="960" spans="1:12" ht="15" customHeight="1" x14ac:dyDescent="0.2">
      <c r="A960" s="252">
        <v>710330210303001</v>
      </c>
      <c r="B960" s="253" t="s">
        <v>362</v>
      </c>
      <c r="C960" s="250" t="s">
        <v>235</v>
      </c>
      <c r="D960" s="250" t="s">
        <v>345</v>
      </c>
      <c r="K960" s="250">
        <v>0.55000000000000004</v>
      </c>
      <c r="L960" s="250">
        <v>318</v>
      </c>
    </row>
    <row r="961" spans="1:14" ht="15" customHeight="1" x14ac:dyDescent="0.2">
      <c r="A961" s="252">
        <v>710330210303003</v>
      </c>
      <c r="B961" s="253" t="s">
        <v>363</v>
      </c>
      <c r="C961" s="250" t="s">
        <v>235</v>
      </c>
      <c r="D961" s="250" t="s">
        <v>345</v>
      </c>
      <c r="K961" s="250">
        <v>0.55000000000000004</v>
      </c>
      <c r="L961" s="250">
        <v>383</v>
      </c>
    </row>
    <row r="962" spans="1:14" ht="15" customHeight="1" x14ac:dyDescent="0.2">
      <c r="A962" s="252">
        <v>710330200000046</v>
      </c>
      <c r="B962" s="253" t="s">
        <v>364</v>
      </c>
      <c r="C962" s="250" t="s">
        <v>235</v>
      </c>
      <c r="D962" s="250" t="s">
        <v>345</v>
      </c>
      <c r="K962" s="250">
        <v>0.55000000000000004</v>
      </c>
      <c r="L962" s="250">
        <v>500</v>
      </c>
    </row>
    <row r="963" spans="1:14" ht="15" customHeight="1" x14ac:dyDescent="0.2">
      <c r="A963" s="252">
        <v>710332670010380</v>
      </c>
      <c r="B963" s="253" t="s">
        <v>227</v>
      </c>
      <c r="C963" s="250" t="s">
        <v>235</v>
      </c>
      <c r="D963" s="250" t="s">
        <v>282</v>
      </c>
      <c r="K963" s="250">
        <v>0.55000000000000004</v>
      </c>
      <c r="L963" s="250">
        <v>403</v>
      </c>
    </row>
    <row r="964" spans="1:14" ht="15" customHeight="1" x14ac:dyDescent="0.2">
      <c r="A964" s="252">
        <v>710332670004380</v>
      </c>
      <c r="B964" s="253" t="s">
        <v>365</v>
      </c>
      <c r="C964" s="250" t="s">
        <v>235</v>
      </c>
      <c r="D964" s="250" t="s">
        <v>282</v>
      </c>
      <c r="K964" s="250">
        <v>0.55000000000000004</v>
      </c>
      <c r="L964" s="250">
        <v>403</v>
      </c>
    </row>
    <row r="965" spans="1:14" ht="15" customHeight="1" x14ac:dyDescent="0.2">
      <c r="A965" s="252">
        <v>710332670006380</v>
      </c>
      <c r="B965" s="253" t="s">
        <v>366</v>
      </c>
      <c r="C965" s="250" t="s">
        <v>235</v>
      </c>
      <c r="D965" s="250" t="s">
        <v>282</v>
      </c>
      <c r="K965" s="250">
        <v>0.55000000000000004</v>
      </c>
      <c r="L965" s="250">
        <v>403</v>
      </c>
    </row>
    <row r="966" spans="1:14" ht="15" customHeight="1" x14ac:dyDescent="0.2">
      <c r="A966" s="252">
        <v>710332670008380</v>
      </c>
      <c r="B966" s="253" t="s">
        <v>367</v>
      </c>
      <c r="C966" s="250" t="s">
        <v>235</v>
      </c>
      <c r="D966" s="250" t="s">
        <v>282</v>
      </c>
      <c r="K966" s="250">
        <v>0.55000000000000004</v>
      </c>
      <c r="L966" s="250">
        <v>403</v>
      </c>
    </row>
    <row r="967" spans="1:14" ht="15" customHeight="1" x14ac:dyDescent="0.2">
      <c r="A967" s="252">
        <v>710025841310189</v>
      </c>
      <c r="B967" s="253" t="s">
        <v>368</v>
      </c>
      <c r="C967" s="250" t="s">
        <v>235</v>
      </c>
      <c r="D967" s="250" t="s">
        <v>369</v>
      </c>
      <c r="K967" s="250">
        <v>0.55000000000000004</v>
      </c>
      <c r="L967" s="250">
        <v>39.76</v>
      </c>
      <c r="N967" s="250">
        <v>1.5</v>
      </c>
    </row>
    <row r="968" spans="1:14" ht="15" customHeight="1" x14ac:dyDescent="0.2">
      <c r="A968" s="252">
        <v>710025811100100</v>
      </c>
      <c r="B968" s="253" t="s">
        <v>370</v>
      </c>
      <c r="C968" s="250" t="s">
        <v>235</v>
      </c>
      <c r="D968" s="250" t="s">
        <v>369</v>
      </c>
      <c r="K968" s="250">
        <v>0.55000000000000004</v>
      </c>
      <c r="L968" s="250">
        <v>30.46</v>
      </c>
      <c r="N968" s="250">
        <v>1.5</v>
      </c>
    </row>
    <row r="969" spans="1:14" ht="15" customHeight="1" x14ac:dyDescent="0.2">
      <c r="A969" s="252">
        <v>710025811100063</v>
      </c>
      <c r="B969" s="253" t="s">
        <v>371</v>
      </c>
      <c r="C969" s="250" t="s">
        <v>235</v>
      </c>
      <c r="D969" s="250" t="s">
        <v>369</v>
      </c>
      <c r="K969" s="250">
        <v>0.55000000000000004</v>
      </c>
      <c r="L969" s="250">
        <v>28.08</v>
      </c>
      <c r="N969" s="250">
        <v>1.5</v>
      </c>
    </row>
    <row r="970" spans="1:14" ht="15" customHeight="1" x14ac:dyDescent="0.2">
      <c r="A970" s="252">
        <v>710025811100080</v>
      </c>
      <c r="B970" s="253" t="s">
        <v>372</v>
      </c>
      <c r="C970" s="250" t="s">
        <v>235</v>
      </c>
      <c r="D970" s="250" t="s">
        <v>369</v>
      </c>
      <c r="K970" s="250">
        <v>0.55000000000000004</v>
      </c>
      <c r="L970" s="250">
        <v>29.22</v>
      </c>
      <c r="N970" s="250">
        <v>1.5</v>
      </c>
    </row>
    <row r="971" spans="1:14" ht="15" customHeight="1" x14ac:dyDescent="0.2">
      <c r="A971" s="252">
        <v>710025812100100</v>
      </c>
      <c r="B971" s="253" t="s">
        <v>373</v>
      </c>
      <c r="C971" s="250" t="s">
        <v>235</v>
      </c>
      <c r="D971" s="250" t="s">
        <v>369</v>
      </c>
      <c r="K971" s="250">
        <v>0.55000000000000004</v>
      </c>
      <c r="L971" s="250">
        <v>63.65</v>
      </c>
      <c r="N971" s="250">
        <v>3</v>
      </c>
    </row>
    <row r="972" spans="1:14" ht="15" customHeight="1" x14ac:dyDescent="0.2">
      <c r="A972" s="252">
        <v>710025841310190</v>
      </c>
      <c r="B972" s="253" t="s">
        <v>374</v>
      </c>
      <c r="C972" s="250" t="s">
        <v>235</v>
      </c>
      <c r="D972" s="250" t="s">
        <v>369</v>
      </c>
      <c r="K972" s="250">
        <v>0.55000000000000004</v>
      </c>
      <c r="L972" s="250">
        <v>79.56</v>
      </c>
      <c r="N972" s="250">
        <v>3</v>
      </c>
    </row>
    <row r="973" spans="1:14" ht="15" customHeight="1" x14ac:dyDescent="0.2">
      <c r="A973" s="252">
        <v>710025812100063</v>
      </c>
      <c r="B973" s="253" t="s">
        <v>375</v>
      </c>
      <c r="C973" s="250" t="s">
        <v>235</v>
      </c>
      <c r="D973" s="250" t="s">
        <v>369</v>
      </c>
      <c r="K973" s="250">
        <v>0.55000000000000004</v>
      </c>
      <c r="L973" s="250">
        <v>61.38</v>
      </c>
      <c r="N973" s="250">
        <v>3</v>
      </c>
    </row>
    <row r="974" spans="1:14" ht="15" customHeight="1" x14ac:dyDescent="0.2">
      <c r="A974" s="252">
        <v>710025812100080</v>
      </c>
      <c r="B974" s="253" t="s">
        <v>376</v>
      </c>
      <c r="C974" s="250" t="s">
        <v>235</v>
      </c>
      <c r="D974" s="250" t="s">
        <v>369</v>
      </c>
      <c r="K974" s="250">
        <v>0.55000000000000004</v>
      </c>
      <c r="L974" s="250">
        <v>62.52</v>
      </c>
      <c r="N974" s="250">
        <v>3</v>
      </c>
    </row>
    <row r="975" spans="1:14" ht="15" customHeight="1" x14ac:dyDescent="0.2">
      <c r="A975" s="252">
        <v>710025813100100</v>
      </c>
      <c r="B975" s="253" t="s">
        <v>377</v>
      </c>
      <c r="C975" s="250" t="s">
        <v>235</v>
      </c>
      <c r="D975" s="250" t="s">
        <v>369</v>
      </c>
      <c r="K975" s="250">
        <v>0.55000000000000004</v>
      </c>
      <c r="L975" s="250">
        <v>88.33</v>
      </c>
      <c r="N975" s="250">
        <v>4.5</v>
      </c>
    </row>
    <row r="976" spans="1:14" ht="15" customHeight="1" x14ac:dyDescent="0.2">
      <c r="A976" s="252">
        <v>710025841310191</v>
      </c>
      <c r="B976" s="253" t="s">
        <v>378</v>
      </c>
      <c r="C976" s="250" t="s">
        <v>235</v>
      </c>
      <c r="D976" s="250" t="s">
        <v>369</v>
      </c>
      <c r="K976" s="250">
        <v>0.55000000000000004</v>
      </c>
      <c r="L976" s="250">
        <v>120.4</v>
      </c>
      <c r="N976" s="250">
        <v>4.5</v>
      </c>
    </row>
    <row r="977" spans="1:14" ht="15" customHeight="1" x14ac:dyDescent="0.2">
      <c r="A977" s="252">
        <v>710025813100063</v>
      </c>
      <c r="B977" s="253" t="s">
        <v>379</v>
      </c>
      <c r="C977" s="250" t="s">
        <v>235</v>
      </c>
      <c r="D977" s="250" t="s">
        <v>369</v>
      </c>
      <c r="K977" s="250">
        <v>0.55000000000000004</v>
      </c>
      <c r="L977" s="250">
        <v>87.2</v>
      </c>
      <c r="N977" s="250">
        <v>4.5</v>
      </c>
    </row>
    <row r="978" spans="1:14" ht="15" customHeight="1" x14ac:dyDescent="0.2">
      <c r="A978" s="252">
        <v>710025813100080</v>
      </c>
      <c r="B978" s="253" t="s">
        <v>380</v>
      </c>
      <c r="C978" s="250" t="s">
        <v>235</v>
      </c>
      <c r="D978" s="250" t="s">
        <v>369</v>
      </c>
      <c r="K978" s="250">
        <v>0.55000000000000004</v>
      </c>
      <c r="L978" s="250">
        <v>87.78</v>
      </c>
      <c r="N978" s="250">
        <v>4.5</v>
      </c>
    </row>
    <row r="979" spans="1:14" ht="15" customHeight="1" x14ac:dyDescent="0.2">
      <c r="A979" s="252">
        <v>710025814100100</v>
      </c>
      <c r="B979" s="253" t="s">
        <v>381</v>
      </c>
      <c r="C979" s="250" t="s">
        <v>235</v>
      </c>
      <c r="D979" s="250" t="s">
        <v>369</v>
      </c>
      <c r="K979" s="250">
        <v>0.55000000000000004</v>
      </c>
      <c r="L979" s="250">
        <v>136.6</v>
      </c>
      <c r="N979" s="250">
        <v>6</v>
      </c>
    </row>
    <row r="980" spans="1:14" ht="15" customHeight="1" x14ac:dyDescent="0.2">
      <c r="A980" s="252">
        <v>710025841310192</v>
      </c>
      <c r="B980" s="253" t="s">
        <v>382</v>
      </c>
      <c r="C980" s="250" t="s">
        <v>235</v>
      </c>
      <c r="D980" s="250" t="s">
        <v>369</v>
      </c>
      <c r="K980" s="250">
        <v>0.55000000000000004</v>
      </c>
      <c r="L980" s="250">
        <v>162.1</v>
      </c>
      <c r="N980" s="250">
        <v>6</v>
      </c>
    </row>
    <row r="981" spans="1:14" ht="15" customHeight="1" x14ac:dyDescent="0.2">
      <c r="A981" s="252">
        <v>710025814100063</v>
      </c>
      <c r="B981" s="253" t="s">
        <v>383</v>
      </c>
      <c r="C981" s="250" t="s">
        <v>235</v>
      </c>
      <c r="D981" s="250" t="s">
        <v>369</v>
      </c>
      <c r="K981" s="250">
        <v>0.55000000000000004</v>
      </c>
      <c r="L981" s="250">
        <v>129.69999999999999</v>
      </c>
      <c r="N981" s="250">
        <v>6</v>
      </c>
    </row>
    <row r="982" spans="1:14" ht="15" customHeight="1" x14ac:dyDescent="0.2">
      <c r="A982" s="252">
        <v>710025814100080</v>
      </c>
      <c r="B982" s="253" t="s">
        <v>384</v>
      </c>
      <c r="C982" s="250" t="s">
        <v>235</v>
      </c>
      <c r="D982" s="250" t="s">
        <v>369</v>
      </c>
      <c r="K982" s="250">
        <v>0.55000000000000004</v>
      </c>
      <c r="L982" s="250">
        <v>134.4</v>
      </c>
      <c r="N982" s="250">
        <v>6</v>
      </c>
    </row>
    <row r="983" spans="1:14" ht="15" customHeight="1" x14ac:dyDescent="0.2">
      <c r="A983" s="252">
        <v>710438100000015</v>
      </c>
      <c r="B983" s="253" t="s">
        <v>385</v>
      </c>
      <c r="C983" s="250" t="s">
        <v>235</v>
      </c>
      <c r="D983" s="250" t="s">
        <v>369</v>
      </c>
      <c r="K983" s="250">
        <v>0.55000000000000004</v>
      </c>
      <c r="L983" s="250">
        <v>18.399999999999999</v>
      </c>
      <c r="N983" s="250">
        <v>1</v>
      </c>
    </row>
    <row r="984" spans="1:14" ht="15" customHeight="1" x14ac:dyDescent="0.2">
      <c r="A984" s="252">
        <v>710438100000021</v>
      </c>
      <c r="B984" s="253" t="s">
        <v>386</v>
      </c>
      <c r="C984" s="250" t="s">
        <v>235</v>
      </c>
      <c r="D984" s="250" t="s">
        <v>369</v>
      </c>
      <c r="K984" s="250">
        <v>0.55000000000000004</v>
      </c>
      <c r="L984" s="250">
        <v>18.399999999999999</v>
      </c>
      <c r="N984" s="250">
        <v>1</v>
      </c>
    </row>
    <row r="985" spans="1:14" ht="15" customHeight="1" x14ac:dyDescent="0.2">
      <c r="A985" s="252">
        <v>710438100000017</v>
      </c>
      <c r="B985" s="253" t="s">
        <v>387</v>
      </c>
      <c r="C985" s="250" t="s">
        <v>235</v>
      </c>
      <c r="D985" s="250" t="s">
        <v>369</v>
      </c>
      <c r="K985" s="250">
        <v>0.55000000000000004</v>
      </c>
      <c r="L985" s="250">
        <v>18.399999999999999</v>
      </c>
      <c r="N985" s="250">
        <v>1</v>
      </c>
    </row>
    <row r="986" spans="1:14" ht="15" customHeight="1" x14ac:dyDescent="0.2">
      <c r="A986" s="252">
        <v>710438100000018</v>
      </c>
      <c r="B986" s="253" t="s">
        <v>388</v>
      </c>
      <c r="C986" s="250" t="s">
        <v>235</v>
      </c>
      <c r="D986" s="250" t="s">
        <v>369</v>
      </c>
      <c r="K986" s="250">
        <v>0.55000000000000004</v>
      </c>
      <c r="L986" s="250">
        <v>18.399999999999999</v>
      </c>
      <c r="N986" s="250">
        <v>1</v>
      </c>
    </row>
    <row r="987" spans="1:14" ht="15" customHeight="1" x14ac:dyDescent="0.2">
      <c r="A987" s="252">
        <v>710438100000019</v>
      </c>
      <c r="B987" s="253" t="s">
        <v>389</v>
      </c>
      <c r="C987" s="250" t="s">
        <v>235</v>
      </c>
      <c r="D987" s="250" t="s">
        <v>369</v>
      </c>
      <c r="K987" s="250">
        <v>0.55000000000000004</v>
      </c>
      <c r="L987" s="250">
        <v>18.399999999999999</v>
      </c>
      <c r="N987" s="250">
        <v>1</v>
      </c>
    </row>
    <row r="988" spans="1:14" ht="15" customHeight="1" x14ac:dyDescent="0.2">
      <c r="A988" s="252">
        <v>710438100000014</v>
      </c>
      <c r="B988" s="253" t="s">
        <v>390</v>
      </c>
      <c r="C988" s="250" t="s">
        <v>235</v>
      </c>
      <c r="D988" s="250" t="s">
        <v>369</v>
      </c>
      <c r="K988" s="250">
        <v>0.55000000000000004</v>
      </c>
      <c r="L988" s="250">
        <v>18.399999999999999</v>
      </c>
      <c r="N988" s="250">
        <v>1</v>
      </c>
    </row>
    <row r="989" spans="1:14" ht="15" customHeight="1" x14ac:dyDescent="0.2">
      <c r="A989" s="252">
        <v>710024711060010</v>
      </c>
      <c r="B989" s="253" t="s">
        <v>391</v>
      </c>
      <c r="C989" s="250" t="s">
        <v>235</v>
      </c>
      <c r="D989" s="250" t="s">
        <v>369</v>
      </c>
      <c r="K989" s="250">
        <v>0.55000000000000004</v>
      </c>
      <c r="L989" s="250">
        <v>10.75</v>
      </c>
      <c r="N989" s="250">
        <v>1</v>
      </c>
    </row>
    <row r="990" spans="1:14" ht="15" customHeight="1" x14ac:dyDescent="0.2">
      <c r="A990" s="252">
        <v>710024711060015</v>
      </c>
      <c r="B990" s="253" t="s">
        <v>392</v>
      </c>
      <c r="C990" s="250" t="s">
        <v>235</v>
      </c>
      <c r="D990" s="250" t="s">
        <v>369</v>
      </c>
      <c r="K990" s="250">
        <v>0.55000000000000004</v>
      </c>
      <c r="L990" s="250">
        <v>10.75</v>
      </c>
      <c r="N990" s="250">
        <v>1</v>
      </c>
    </row>
    <row r="991" spans="1:14" ht="15" customHeight="1" x14ac:dyDescent="0.2">
      <c r="A991" s="252">
        <v>710024711060016</v>
      </c>
      <c r="B991" s="253" t="s">
        <v>393</v>
      </c>
      <c r="C991" s="250" t="s">
        <v>235</v>
      </c>
      <c r="D991" s="250" t="s">
        <v>369</v>
      </c>
      <c r="K991" s="250">
        <v>0.55000000000000004</v>
      </c>
      <c r="L991" s="250">
        <v>10.75</v>
      </c>
      <c r="N991" s="250">
        <v>1</v>
      </c>
    </row>
    <row r="992" spans="1:14" ht="15" customHeight="1" x14ac:dyDescent="0.2">
      <c r="A992" s="252">
        <v>710024711060020</v>
      </c>
      <c r="B992" s="253" t="s">
        <v>394</v>
      </c>
      <c r="C992" s="250" t="s">
        <v>235</v>
      </c>
      <c r="D992" s="250" t="s">
        <v>369</v>
      </c>
      <c r="K992" s="250">
        <v>0.55000000000000004</v>
      </c>
      <c r="L992" s="250">
        <v>10.75</v>
      </c>
      <c r="N992" s="250">
        <v>1</v>
      </c>
    </row>
    <row r="993" spans="1:14" ht="15" customHeight="1" x14ac:dyDescent="0.2">
      <c r="A993" s="252">
        <v>710024711060025</v>
      </c>
      <c r="B993" s="253" t="s">
        <v>395</v>
      </c>
      <c r="C993" s="250" t="s">
        <v>235</v>
      </c>
      <c r="D993" s="250" t="s">
        <v>369</v>
      </c>
      <c r="K993" s="250">
        <v>0.55000000000000004</v>
      </c>
      <c r="L993" s="250">
        <v>10.75</v>
      </c>
      <c r="N993" s="250">
        <v>1</v>
      </c>
    </row>
    <row r="994" spans="1:14" ht="15" customHeight="1" x14ac:dyDescent="0.2">
      <c r="A994" s="252">
        <v>710024711060032</v>
      </c>
      <c r="B994" s="253" t="s">
        <v>396</v>
      </c>
      <c r="C994" s="250" t="s">
        <v>235</v>
      </c>
      <c r="D994" s="250" t="s">
        <v>369</v>
      </c>
      <c r="K994" s="250">
        <v>0.55000000000000004</v>
      </c>
      <c r="L994" s="250">
        <v>10.75</v>
      </c>
      <c r="N994" s="250">
        <v>1</v>
      </c>
    </row>
    <row r="995" spans="1:14" ht="15" customHeight="1" x14ac:dyDescent="0.2">
      <c r="A995" s="252">
        <v>710024711060001</v>
      </c>
      <c r="B995" s="253" t="s">
        <v>397</v>
      </c>
      <c r="C995" s="250" t="s">
        <v>235</v>
      </c>
      <c r="D995" s="250" t="s">
        <v>369</v>
      </c>
      <c r="K995" s="250">
        <v>0.55000000000000004</v>
      </c>
      <c r="L995" s="250">
        <v>11.72</v>
      </c>
      <c r="N995" s="250">
        <v>1</v>
      </c>
    </row>
    <row r="996" spans="1:14" ht="15" customHeight="1" x14ac:dyDescent="0.2">
      <c r="A996" s="252">
        <v>710024711060002</v>
      </c>
      <c r="B996" s="253" t="s">
        <v>398</v>
      </c>
      <c r="C996" s="250" t="s">
        <v>235</v>
      </c>
      <c r="D996" s="250" t="s">
        <v>369</v>
      </c>
      <c r="K996" s="250">
        <v>0.55000000000000004</v>
      </c>
      <c r="L996" s="250">
        <v>11.72</v>
      </c>
      <c r="N996" s="250">
        <v>1</v>
      </c>
    </row>
    <row r="997" spans="1:14" ht="15" customHeight="1" x14ac:dyDescent="0.2">
      <c r="A997" s="252">
        <v>710024711060003</v>
      </c>
      <c r="B997" s="253" t="s">
        <v>399</v>
      </c>
      <c r="C997" s="250" t="s">
        <v>235</v>
      </c>
      <c r="D997" s="250" t="s">
        <v>369</v>
      </c>
      <c r="K997" s="250">
        <v>0.55000000000000004</v>
      </c>
      <c r="L997" s="250">
        <v>11.72</v>
      </c>
      <c r="N997" s="250">
        <v>1</v>
      </c>
    </row>
    <row r="998" spans="1:14" ht="15" customHeight="1" x14ac:dyDescent="0.2">
      <c r="A998" s="252">
        <v>710024711060004</v>
      </c>
      <c r="B998" s="253" t="s">
        <v>400</v>
      </c>
      <c r="C998" s="250" t="s">
        <v>235</v>
      </c>
      <c r="D998" s="250" t="s">
        <v>369</v>
      </c>
      <c r="K998" s="250">
        <v>0.55000000000000004</v>
      </c>
      <c r="L998" s="250">
        <v>11.72</v>
      </c>
      <c r="N998" s="250">
        <v>1</v>
      </c>
    </row>
    <row r="999" spans="1:14" ht="15" customHeight="1" x14ac:dyDescent="0.2">
      <c r="A999" s="252">
        <v>710024711060005</v>
      </c>
      <c r="B999" s="253" t="s">
        <v>401</v>
      </c>
      <c r="C999" s="250" t="s">
        <v>235</v>
      </c>
      <c r="D999" s="250" t="s">
        <v>369</v>
      </c>
      <c r="K999" s="250">
        <v>0.55000000000000004</v>
      </c>
      <c r="L999" s="250">
        <v>11.72</v>
      </c>
      <c r="N999" s="250">
        <v>1</v>
      </c>
    </row>
    <row r="1000" spans="1:14" ht="15" customHeight="1" x14ac:dyDescent="0.2">
      <c r="A1000" s="252">
        <v>710024711060006</v>
      </c>
      <c r="B1000" s="253" t="s">
        <v>402</v>
      </c>
      <c r="C1000" s="250" t="s">
        <v>235</v>
      </c>
      <c r="D1000" s="250" t="s">
        <v>369</v>
      </c>
      <c r="K1000" s="250">
        <v>0.55000000000000004</v>
      </c>
      <c r="L1000" s="250">
        <v>11.72</v>
      </c>
      <c r="N1000" s="250">
        <v>1</v>
      </c>
    </row>
    <row r="1001" spans="1:14" ht="15" customHeight="1" x14ac:dyDescent="0.2">
      <c r="A1001" s="252">
        <v>710024721060010</v>
      </c>
      <c r="B1001" s="253" t="s">
        <v>403</v>
      </c>
      <c r="C1001" s="250" t="s">
        <v>235</v>
      </c>
      <c r="D1001" s="250" t="s">
        <v>369</v>
      </c>
      <c r="K1001" s="250">
        <v>0.55000000000000004</v>
      </c>
      <c r="L1001" s="250">
        <v>12</v>
      </c>
      <c r="N1001" s="250">
        <v>1</v>
      </c>
    </row>
    <row r="1002" spans="1:14" ht="15" customHeight="1" x14ac:dyDescent="0.2">
      <c r="A1002" s="252">
        <v>710024721060015</v>
      </c>
      <c r="B1002" s="253" t="s">
        <v>404</v>
      </c>
      <c r="C1002" s="250" t="s">
        <v>235</v>
      </c>
      <c r="D1002" s="250" t="s">
        <v>369</v>
      </c>
      <c r="K1002" s="250">
        <v>0.55000000000000004</v>
      </c>
      <c r="L1002" s="250">
        <v>12</v>
      </c>
      <c r="N1002" s="250">
        <v>1</v>
      </c>
    </row>
    <row r="1003" spans="1:14" ht="15" customHeight="1" x14ac:dyDescent="0.2">
      <c r="A1003" s="252">
        <v>710024721060016</v>
      </c>
      <c r="B1003" s="253" t="s">
        <v>405</v>
      </c>
      <c r="C1003" s="250" t="s">
        <v>235</v>
      </c>
      <c r="D1003" s="250" t="s">
        <v>369</v>
      </c>
      <c r="K1003" s="250">
        <v>0.55000000000000004</v>
      </c>
      <c r="L1003" s="250">
        <v>12</v>
      </c>
      <c r="N1003" s="250">
        <v>1</v>
      </c>
    </row>
    <row r="1004" spans="1:14" ht="15" customHeight="1" x14ac:dyDescent="0.2">
      <c r="A1004" s="252">
        <v>710024721060020</v>
      </c>
      <c r="B1004" s="253" t="s">
        <v>406</v>
      </c>
      <c r="C1004" s="250" t="s">
        <v>235</v>
      </c>
      <c r="D1004" s="250" t="s">
        <v>369</v>
      </c>
      <c r="K1004" s="250">
        <v>0.55000000000000004</v>
      </c>
      <c r="L1004" s="250">
        <v>12</v>
      </c>
      <c r="N1004" s="250">
        <v>1</v>
      </c>
    </row>
    <row r="1005" spans="1:14" ht="15" customHeight="1" x14ac:dyDescent="0.2">
      <c r="A1005" s="252">
        <v>710024721060025</v>
      </c>
      <c r="B1005" s="253" t="s">
        <v>407</v>
      </c>
      <c r="C1005" s="250" t="s">
        <v>235</v>
      </c>
      <c r="D1005" s="250" t="s">
        <v>369</v>
      </c>
      <c r="K1005" s="250">
        <v>0.55000000000000004</v>
      </c>
      <c r="L1005" s="250">
        <v>12</v>
      </c>
      <c r="N1005" s="250">
        <v>1</v>
      </c>
    </row>
    <row r="1006" spans="1:14" ht="15" customHeight="1" x14ac:dyDescent="0.2">
      <c r="A1006" s="252">
        <v>710024721060032</v>
      </c>
      <c r="B1006" s="253" t="s">
        <v>408</v>
      </c>
      <c r="C1006" s="250" t="s">
        <v>235</v>
      </c>
      <c r="D1006" s="250" t="s">
        <v>369</v>
      </c>
      <c r="K1006" s="250">
        <v>0.55000000000000004</v>
      </c>
      <c r="L1006" s="250">
        <v>12</v>
      </c>
      <c r="N1006" s="250">
        <v>1</v>
      </c>
    </row>
    <row r="1007" spans="1:14" ht="15" customHeight="1" x14ac:dyDescent="0.2">
      <c r="A1007" s="252">
        <v>710024711060040</v>
      </c>
      <c r="B1007" s="253" t="s">
        <v>409</v>
      </c>
      <c r="C1007" s="250" t="s">
        <v>235</v>
      </c>
      <c r="D1007" s="250" t="s">
        <v>369</v>
      </c>
      <c r="K1007" s="250">
        <v>0.55000000000000004</v>
      </c>
      <c r="L1007" s="250">
        <v>12.14</v>
      </c>
      <c r="N1007" s="250">
        <v>1</v>
      </c>
    </row>
    <row r="1008" spans="1:14" ht="15" customHeight="1" x14ac:dyDescent="0.2">
      <c r="A1008" s="252">
        <v>710024711060050</v>
      </c>
      <c r="B1008" s="253" t="s">
        <v>410</v>
      </c>
      <c r="C1008" s="250" t="s">
        <v>235</v>
      </c>
      <c r="D1008" s="250" t="s">
        <v>369</v>
      </c>
      <c r="K1008" s="250">
        <v>0.55000000000000004</v>
      </c>
      <c r="L1008" s="250">
        <v>12.6</v>
      </c>
      <c r="N1008" s="250">
        <v>1</v>
      </c>
    </row>
    <row r="1009" spans="1:14" ht="15" customHeight="1" x14ac:dyDescent="0.2">
      <c r="A1009" s="252">
        <v>710024711060060</v>
      </c>
      <c r="B1009" s="253" t="s">
        <v>411</v>
      </c>
      <c r="C1009" s="250" t="s">
        <v>235</v>
      </c>
      <c r="D1009" s="250" t="s">
        <v>369</v>
      </c>
      <c r="K1009" s="250">
        <v>0.55000000000000004</v>
      </c>
      <c r="L1009" s="250">
        <v>12.6</v>
      </c>
      <c r="N1009" s="250">
        <v>1</v>
      </c>
    </row>
    <row r="1010" spans="1:14" ht="15" customHeight="1" x14ac:dyDescent="0.2">
      <c r="A1010" s="252">
        <v>710024721060001</v>
      </c>
      <c r="B1010" s="253" t="s">
        <v>412</v>
      </c>
      <c r="C1010" s="250" t="s">
        <v>235</v>
      </c>
      <c r="D1010" s="250" t="s">
        <v>369</v>
      </c>
      <c r="K1010" s="250">
        <v>0.55000000000000004</v>
      </c>
      <c r="L1010" s="250">
        <v>13.03</v>
      </c>
      <c r="N1010" s="250">
        <v>1</v>
      </c>
    </row>
    <row r="1011" spans="1:14" ht="15" customHeight="1" x14ac:dyDescent="0.2">
      <c r="A1011" s="252">
        <v>710024721060002</v>
      </c>
      <c r="B1011" s="253" t="s">
        <v>413</v>
      </c>
      <c r="C1011" s="250" t="s">
        <v>235</v>
      </c>
      <c r="D1011" s="250" t="s">
        <v>369</v>
      </c>
      <c r="K1011" s="250">
        <v>0.55000000000000004</v>
      </c>
      <c r="L1011" s="250">
        <v>13.03</v>
      </c>
      <c r="N1011" s="250">
        <v>1</v>
      </c>
    </row>
    <row r="1012" spans="1:14" ht="15" customHeight="1" x14ac:dyDescent="0.2">
      <c r="A1012" s="252">
        <v>710024721060003</v>
      </c>
      <c r="B1012" s="253" t="s">
        <v>414</v>
      </c>
      <c r="C1012" s="250" t="s">
        <v>235</v>
      </c>
      <c r="D1012" s="250" t="s">
        <v>369</v>
      </c>
      <c r="K1012" s="250">
        <v>0.55000000000000004</v>
      </c>
      <c r="L1012" s="250">
        <v>13.03</v>
      </c>
      <c r="N1012" s="250">
        <v>1</v>
      </c>
    </row>
    <row r="1013" spans="1:14" ht="15" customHeight="1" x14ac:dyDescent="0.2">
      <c r="A1013" s="252">
        <v>710024721060004</v>
      </c>
      <c r="B1013" s="253" t="s">
        <v>415</v>
      </c>
      <c r="C1013" s="250" t="s">
        <v>235</v>
      </c>
      <c r="D1013" s="250" t="s">
        <v>369</v>
      </c>
      <c r="K1013" s="250">
        <v>0.55000000000000004</v>
      </c>
      <c r="L1013" s="250">
        <v>13.03</v>
      </c>
      <c r="N1013" s="250">
        <v>1</v>
      </c>
    </row>
    <row r="1014" spans="1:14" ht="15" customHeight="1" x14ac:dyDescent="0.2">
      <c r="A1014" s="252">
        <v>710024721060005</v>
      </c>
      <c r="B1014" s="253" t="s">
        <v>416</v>
      </c>
      <c r="C1014" s="250" t="s">
        <v>235</v>
      </c>
      <c r="D1014" s="250" t="s">
        <v>369</v>
      </c>
      <c r="K1014" s="250">
        <v>0.55000000000000004</v>
      </c>
      <c r="L1014" s="250">
        <v>13.03</v>
      </c>
      <c r="N1014" s="250">
        <v>1</v>
      </c>
    </row>
    <row r="1015" spans="1:14" ht="15" customHeight="1" x14ac:dyDescent="0.2">
      <c r="A1015" s="252">
        <v>710024721060006</v>
      </c>
      <c r="B1015" s="253" t="s">
        <v>417</v>
      </c>
      <c r="C1015" s="250" t="s">
        <v>235</v>
      </c>
      <c r="D1015" s="250" t="s">
        <v>369</v>
      </c>
      <c r="K1015" s="250">
        <v>0.55000000000000004</v>
      </c>
      <c r="L1015" s="250">
        <v>13.03</v>
      </c>
      <c r="N1015" s="250">
        <v>1</v>
      </c>
    </row>
    <row r="1016" spans="1:14" ht="15" customHeight="1" x14ac:dyDescent="0.2">
      <c r="A1016" s="252">
        <v>710024721060040</v>
      </c>
      <c r="B1016" s="253" t="s">
        <v>418</v>
      </c>
      <c r="C1016" s="250" t="s">
        <v>235</v>
      </c>
      <c r="D1016" s="250" t="s">
        <v>369</v>
      </c>
      <c r="K1016" s="250">
        <v>0.55000000000000004</v>
      </c>
      <c r="L1016" s="250">
        <v>13.56</v>
      </c>
      <c r="N1016" s="250">
        <v>1</v>
      </c>
    </row>
    <row r="1017" spans="1:14" ht="15" customHeight="1" x14ac:dyDescent="0.2">
      <c r="A1017" s="252">
        <v>710024721060050</v>
      </c>
      <c r="B1017" s="253" t="s">
        <v>419</v>
      </c>
      <c r="C1017" s="250" t="s">
        <v>235</v>
      </c>
      <c r="D1017" s="250" t="s">
        <v>369</v>
      </c>
      <c r="K1017" s="250">
        <v>0.55000000000000004</v>
      </c>
      <c r="L1017" s="250">
        <v>14.08</v>
      </c>
      <c r="N1017" s="250">
        <v>1</v>
      </c>
    </row>
    <row r="1018" spans="1:14" ht="15" customHeight="1" x14ac:dyDescent="0.2">
      <c r="A1018" s="252">
        <v>710024721060060</v>
      </c>
      <c r="B1018" s="253" t="s">
        <v>420</v>
      </c>
      <c r="C1018" s="250" t="s">
        <v>235</v>
      </c>
      <c r="D1018" s="250" t="s">
        <v>369</v>
      </c>
      <c r="K1018" s="250">
        <v>0.55000000000000004</v>
      </c>
      <c r="L1018" s="250">
        <v>14.08</v>
      </c>
      <c r="N1018" s="250">
        <v>1</v>
      </c>
    </row>
    <row r="1019" spans="1:14" ht="15" customHeight="1" x14ac:dyDescent="0.2">
      <c r="A1019" s="252">
        <v>710024712060010</v>
      </c>
      <c r="B1019" s="253" t="s">
        <v>421</v>
      </c>
      <c r="C1019" s="250" t="s">
        <v>235</v>
      </c>
      <c r="D1019" s="250" t="s">
        <v>369</v>
      </c>
      <c r="K1019" s="250">
        <v>0.55000000000000004</v>
      </c>
      <c r="L1019" s="250">
        <v>22.61</v>
      </c>
      <c r="N1019" s="250">
        <v>2</v>
      </c>
    </row>
    <row r="1020" spans="1:14" ht="15" customHeight="1" x14ac:dyDescent="0.2">
      <c r="A1020" s="252">
        <v>710024712060015</v>
      </c>
      <c r="B1020" s="253" t="s">
        <v>422</v>
      </c>
      <c r="C1020" s="250" t="s">
        <v>235</v>
      </c>
      <c r="D1020" s="250" t="s">
        <v>369</v>
      </c>
      <c r="K1020" s="250">
        <v>0.55000000000000004</v>
      </c>
      <c r="L1020" s="250">
        <v>22.61</v>
      </c>
      <c r="N1020" s="250">
        <v>2</v>
      </c>
    </row>
    <row r="1021" spans="1:14" ht="15" customHeight="1" x14ac:dyDescent="0.2">
      <c r="A1021" s="252">
        <v>710024712060016</v>
      </c>
      <c r="B1021" s="253" t="s">
        <v>423</v>
      </c>
      <c r="C1021" s="250" t="s">
        <v>235</v>
      </c>
      <c r="D1021" s="250" t="s">
        <v>369</v>
      </c>
      <c r="K1021" s="250">
        <v>0.55000000000000004</v>
      </c>
      <c r="L1021" s="250">
        <v>22.61</v>
      </c>
      <c r="N1021" s="250">
        <v>2</v>
      </c>
    </row>
    <row r="1022" spans="1:14" ht="15" customHeight="1" x14ac:dyDescent="0.2">
      <c r="A1022" s="252">
        <v>710024712060020</v>
      </c>
      <c r="B1022" s="253" t="s">
        <v>424</v>
      </c>
      <c r="C1022" s="250" t="s">
        <v>235</v>
      </c>
      <c r="D1022" s="250" t="s">
        <v>369</v>
      </c>
      <c r="K1022" s="250">
        <v>0.55000000000000004</v>
      </c>
      <c r="L1022" s="250">
        <v>22.61</v>
      </c>
      <c r="N1022" s="250">
        <v>2</v>
      </c>
    </row>
    <row r="1023" spans="1:14" ht="15" customHeight="1" x14ac:dyDescent="0.2">
      <c r="A1023" s="252">
        <v>710024712060025</v>
      </c>
      <c r="B1023" s="253" t="s">
        <v>425</v>
      </c>
      <c r="C1023" s="250" t="s">
        <v>235</v>
      </c>
      <c r="D1023" s="250" t="s">
        <v>369</v>
      </c>
      <c r="K1023" s="250">
        <v>0.55000000000000004</v>
      </c>
      <c r="L1023" s="250">
        <v>22.61</v>
      </c>
      <c r="N1023" s="250">
        <v>2</v>
      </c>
    </row>
    <row r="1024" spans="1:14" ht="15" customHeight="1" x14ac:dyDescent="0.2">
      <c r="A1024" s="252">
        <v>710024712060032</v>
      </c>
      <c r="B1024" s="253" t="s">
        <v>426</v>
      </c>
      <c r="C1024" s="250" t="s">
        <v>235</v>
      </c>
      <c r="D1024" s="250" t="s">
        <v>369</v>
      </c>
      <c r="K1024" s="250">
        <v>0.55000000000000004</v>
      </c>
      <c r="L1024" s="250">
        <v>22.61</v>
      </c>
      <c r="N1024" s="250">
        <v>2</v>
      </c>
    </row>
    <row r="1025" spans="1:14" ht="15" customHeight="1" x14ac:dyDescent="0.2">
      <c r="A1025" s="252">
        <v>710024722060010</v>
      </c>
      <c r="B1025" s="253" t="s">
        <v>427</v>
      </c>
      <c r="C1025" s="250" t="s">
        <v>235</v>
      </c>
      <c r="D1025" s="250" t="s">
        <v>369</v>
      </c>
      <c r="K1025" s="250">
        <v>0.55000000000000004</v>
      </c>
      <c r="L1025" s="250">
        <v>24.13</v>
      </c>
      <c r="N1025" s="250">
        <v>2</v>
      </c>
    </row>
    <row r="1026" spans="1:14" ht="15" customHeight="1" x14ac:dyDescent="0.2">
      <c r="A1026" s="252">
        <v>710024722060015</v>
      </c>
      <c r="B1026" s="253" t="s">
        <v>428</v>
      </c>
      <c r="C1026" s="250" t="s">
        <v>235</v>
      </c>
      <c r="D1026" s="250" t="s">
        <v>369</v>
      </c>
      <c r="K1026" s="250">
        <v>0.55000000000000004</v>
      </c>
      <c r="L1026" s="250">
        <v>24.13</v>
      </c>
      <c r="N1026" s="250">
        <v>2</v>
      </c>
    </row>
    <row r="1027" spans="1:14" ht="15" customHeight="1" x14ac:dyDescent="0.2">
      <c r="A1027" s="252">
        <v>710024722060016</v>
      </c>
      <c r="B1027" s="253" t="s">
        <v>429</v>
      </c>
      <c r="C1027" s="250" t="s">
        <v>235</v>
      </c>
      <c r="D1027" s="250" t="s">
        <v>369</v>
      </c>
      <c r="K1027" s="250">
        <v>0.55000000000000004</v>
      </c>
      <c r="L1027" s="250">
        <v>24.13</v>
      </c>
      <c r="N1027" s="250">
        <v>2</v>
      </c>
    </row>
    <row r="1028" spans="1:14" ht="15" customHeight="1" x14ac:dyDescent="0.2">
      <c r="A1028" s="252">
        <v>710024722060020</v>
      </c>
      <c r="B1028" s="253" t="s">
        <v>430</v>
      </c>
      <c r="C1028" s="250" t="s">
        <v>235</v>
      </c>
      <c r="D1028" s="250" t="s">
        <v>369</v>
      </c>
      <c r="K1028" s="250">
        <v>0.55000000000000004</v>
      </c>
      <c r="L1028" s="250">
        <v>24.13</v>
      </c>
      <c r="N1028" s="250">
        <v>2</v>
      </c>
    </row>
    <row r="1029" spans="1:14" ht="15" customHeight="1" x14ac:dyDescent="0.2">
      <c r="A1029" s="252">
        <v>710024722060025</v>
      </c>
      <c r="B1029" s="253" t="s">
        <v>431</v>
      </c>
      <c r="C1029" s="250" t="s">
        <v>235</v>
      </c>
      <c r="D1029" s="250" t="s">
        <v>369</v>
      </c>
      <c r="K1029" s="250">
        <v>0.55000000000000004</v>
      </c>
      <c r="L1029" s="250">
        <v>24.13</v>
      </c>
      <c r="N1029" s="250">
        <v>2</v>
      </c>
    </row>
    <row r="1030" spans="1:14" ht="15" customHeight="1" x14ac:dyDescent="0.2">
      <c r="A1030" s="252">
        <v>710024722060032</v>
      </c>
      <c r="B1030" s="253" t="s">
        <v>432</v>
      </c>
      <c r="C1030" s="250" t="s">
        <v>235</v>
      </c>
      <c r="D1030" s="250" t="s">
        <v>369</v>
      </c>
      <c r="K1030" s="250">
        <v>0.55000000000000004</v>
      </c>
      <c r="L1030" s="250">
        <v>24.13</v>
      </c>
      <c r="N1030" s="250">
        <v>2</v>
      </c>
    </row>
    <row r="1031" spans="1:14" ht="15" customHeight="1" x14ac:dyDescent="0.2">
      <c r="A1031" s="252">
        <v>710024712060001</v>
      </c>
      <c r="B1031" s="253" t="s">
        <v>433</v>
      </c>
      <c r="C1031" s="250" t="s">
        <v>235</v>
      </c>
      <c r="D1031" s="250" t="s">
        <v>369</v>
      </c>
      <c r="K1031" s="250">
        <v>0.55000000000000004</v>
      </c>
      <c r="L1031" s="250">
        <v>24.64</v>
      </c>
      <c r="N1031" s="250">
        <v>2</v>
      </c>
    </row>
    <row r="1032" spans="1:14" ht="15" customHeight="1" x14ac:dyDescent="0.2">
      <c r="A1032" s="252">
        <v>710024712060002</v>
      </c>
      <c r="B1032" s="253" t="s">
        <v>434</v>
      </c>
      <c r="C1032" s="250" t="s">
        <v>235</v>
      </c>
      <c r="D1032" s="250" t="s">
        <v>369</v>
      </c>
      <c r="K1032" s="250">
        <v>0.55000000000000004</v>
      </c>
      <c r="L1032" s="250">
        <v>24.64</v>
      </c>
      <c r="N1032" s="250">
        <v>2</v>
      </c>
    </row>
    <row r="1033" spans="1:14" ht="15" customHeight="1" x14ac:dyDescent="0.2">
      <c r="A1033" s="252">
        <v>710024712060003</v>
      </c>
      <c r="B1033" s="253" t="s">
        <v>435</v>
      </c>
      <c r="C1033" s="250" t="s">
        <v>235</v>
      </c>
      <c r="D1033" s="250" t="s">
        <v>369</v>
      </c>
      <c r="K1033" s="250">
        <v>0.55000000000000004</v>
      </c>
      <c r="L1033" s="250">
        <v>24.64</v>
      </c>
      <c r="N1033" s="250">
        <v>2</v>
      </c>
    </row>
    <row r="1034" spans="1:14" ht="15" customHeight="1" x14ac:dyDescent="0.2">
      <c r="A1034" s="252">
        <v>710024712060004</v>
      </c>
      <c r="B1034" s="253" t="s">
        <v>436</v>
      </c>
      <c r="C1034" s="250" t="s">
        <v>235</v>
      </c>
      <c r="D1034" s="250" t="s">
        <v>369</v>
      </c>
      <c r="K1034" s="250">
        <v>0.55000000000000004</v>
      </c>
      <c r="L1034" s="250">
        <v>24.64</v>
      </c>
      <c r="N1034" s="250">
        <v>2</v>
      </c>
    </row>
    <row r="1035" spans="1:14" ht="15" customHeight="1" x14ac:dyDescent="0.2">
      <c r="A1035" s="252">
        <v>710024712060005</v>
      </c>
      <c r="B1035" s="253" t="s">
        <v>437</v>
      </c>
      <c r="C1035" s="250" t="s">
        <v>235</v>
      </c>
      <c r="D1035" s="250" t="s">
        <v>369</v>
      </c>
      <c r="K1035" s="250">
        <v>0.55000000000000004</v>
      </c>
      <c r="L1035" s="250">
        <v>24.64</v>
      </c>
      <c r="N1035" s="250">
        <v>2</v>
      </c>
    </row>
    <row r="1036" spans="1:14" ht="15" customHeight="1" x14ac:dyDescent="0.2">
      <c r="A1036" s="252">
        <v>710024712060006</v>
      </c>
      <c r="B1036" s="253" t="s">
        <v>438</v>
      </c>
      <c r="C1036" s="250" t="s">
        <v>235</v>
      </c>
      <c r="D1036" s="250" t="s">
        <v>369</v>
      </c>
      <c r="K1036" s="250">
        <v>0.55000000000000004</v>
      </c>
      <c r="L1036" s="250">
        <v>24.64</v>
      </c>
      <c r="N1036" s="250">
        <v>2</v>
      </c>
    </row>
    <row r="1037" spans="1:14" ht="15" customHeight="1" x14ac:dyDescent="0.2">
      <c r="A1037" s="252">
        <v>710024712060040</v>
      </c>
      <c r="B1037" s="253" t="s">
        <v>439</v>
      </c>
      <c r="C1037" s="250" t="s">
        <v>235</v>
      </c>
      <c r="D1037" s="250" t="s">
        <v>369</v>
      </c>
      <c r="K1037" s="250">
        <v>0.55000000000000004</v>
      </c>
      <c r="L1037" s="250">
        <v>25.55</v>
      </c>
      <c r="N1037" s="250">
        <v>2</v>
      </c>
    </row>
    <row r="1038" spans="1:14" ht="15" customHeight="1" x14ac:dyDescent="0.2">
      <c r="A1038" s="252">
        <v>710024722060001</v>
      </c>
      <c r="B1038" s="253" t="s">
        <v>440</v>
      </c>
      <c r="C1038" s="250" t="s">
        <v>235</v>
      </c>
      <c r="D1038" s="250" t="s">
        <v>369</v>
      </c>
      <c r="K1038" s="250">
        <v>0.55000000000000004</v>
      </c>
      <c r="L1038" s="250">
        <v>26.32</v>
      </c>
      <c r="N1038" s="250">
        <v>2</v>
      </c>
    </row>
    <row r="1039" spans="1:14" ht="15" customHeight="1" x14ac:dyDescent="0.2">
      <c r="A1039" s="252">
        <v>710024722060002</v>
      </c>
      <c r="B1039" s="253" t="s">
        <v>441</v>
      </c>
      <c r="C1039" s="250" t="s">
        <v>235</v>
      </c>
      <c r="D1039" s="250" t="s">
        <v>369</v>
      </c>
      <c r="K1039" s="250">
        <v>0.55000000000000004</v>
      </c>
      <c r="L1039" s="250">
        <v>26.32</v>
      </c>
      <c r="N1039" s="250">
        <v>2</v>
      </c>
    </row>
    <row r="1040" spans="1:14" ht="15" customHeight="1" x14ac:dyDescent="0.2">
      <c r="A1040" s="252">
        <v>710024722060003</v>
      </c>
      <c r="B1040" s="253" t="s">
        <v>442</v>
      </c>
      <c r="C1040" s="250" t="s">
        <v>235</v>
      </c>
      <c r="D1040" s="250" t="s">
        <v>369</v>
      </c>
      <c r="K1040" s="250">
        <v>0.55000000000000004</v>
      </c>
      <c r="L1040" s="250">
        <v>26.32</v>
      </c>
      <c r="N1040" s="250">
        <v>2</v>
      </c>
    </row>
    <row r="1041" spans="1:14" ht="15" customHeight="1" x14ac:dyDescent="0.2">
      <c r="A1041" s="252">
        <v>710024722060004</v>
      </c>
      <c r="B1041" s="253" t="s">
        <v>443</v>
      </c>
      <c r="C1041" s="250" t="s">
        <v>235</v>
      </c>
      <c r="D1041" s="250" t="s">
        <v>369</v>
      </c>
      <c r="K1041" s="250">
        <v>0.55000000000000004</v>
      </c>
      <c r="L1041" s="250">
        <v>26.32</v>
      </c>
      <c r="N1041" s="250">
        <v>2</v>
      </c>
    </row>
    <row r="1042" spans="1:14" ht="15" customHeight="1" x14ac:dyDescent="0.2">
      <c r="A1042" s="252">
        <v>710024722060005</v>
      </c>
      <c r="B1042" s="253" t="s">
        <v>444</v>
      </c>
      <c r="C1042" s="250" t="s">
        <v>235</v>
      </c>
      <c r="D1042" s="250" t="s">
        <v>369</v>
      </c>
      <c r="K1042" s="250">
        <v>0.55000000000000004</v>
      </c>
      <c r="L1042" s="250">
        <v>26.32</v>
      </c>
      <c r="N1042" s="250">
        <v>2</v>
      </c>
    </row>
    <row r="1043" spans="1:14" ht="15" customHeight="1" x14ac:dyDescent="0.2">
      <c r="A1043" s="252">
        <v>710024722060006</v>
      </c>
      <c r="B1043" s="253" t="s">
        <v>445</v>
      </c>
      <c r="C1043" s="250" t="s">
        <v>235</v>
      </c>
      <c r="D1043" s="250" t="s">
        <v>369</v>
      </c>
      <c r="K1043" s="250">
        <v>0.55000000000000004</v>
      </c>
      <c r="L1043" s="250">
        <v>26.32</v>
      </c>
      <c r="N1043" s="250">
        <v>2</v>
      </c>
    </row>
    <row r="1044" spans="1:14" ht="15" customHeight="1" x14ac:dyDescent="0.2">
      <c r="A1044" s="252">
        <v>710024712060050</v>
      </c>
      <c r="B1044" s="253" t="s">
        <v>446</v>
      </c>
      <c r="C1044" s="250" t="s">
        <v>235</v>
      </c>
      <c r="D1044" s="250" t="s">
        <v>369</v>
      </c>
      <c r="K1044" s="250">
        <v>0.55000000000000004</v>
      </c>
      <c r="L1044" s="250">
        <v>26.52</v>
      </c>
      <c r="N1044" s="250">
        <v>2</v>
      </c>
    </row>
    <row r="1045" spans="1:14" ht="15" customHeight="1" x14ac:dyDescent="0.2">
      <c r="A1045" s="252">
        <v>710024712060060</v>
      </c>
      <c r="B1045" s="253" t="s">
        <v>447</v>
      </c>
      <c r="C1045" s="250" t="s">
        <v>235</v>
      </c>
      <c r="D1045" s="250" t="s">
        <v>369</v>
      </c>
      <c r="K1045" s="250">
        <v>0.55000000000000004</v>
      </c>
      <c r="L1045" s="250">
        <v>26.52</v>
      </c>
      <c r="N1045" s="250">
        <v>2</v>
      </c>
    </row>
    <row r="1046" spans="1:14" ht="15" customHeight="1" x14ac:dyDescent="0.2">
      <c r="A1046" s="252">
        <v>710024722060040</v>
      </c>
      <c r="B1046" s="253" t="s">
        <v>448</v>
      </c>
      <c r="C1046" s="250" t="s">
        <v>235</v>
      </c>
      <c r="D1046" s="250" t="s">
        <v>369</v>
      </c>
      <c r="K1046" s="250">
        <v>0.55000000000000004</v>
      </c>
      <c r="L1046" s="250">
        <v>27.27</v>
      </c>
      <c r="N1046" s="250">
        <v>2</v>
      </c>
    </row>
    <row r="1047" spans="1:14" ht="15" customHeight="1" x14ac:dyDescent="0.2">
      <c r="A1047" s="252">
        <v>710024722060050</v>
      </c>
      <c r="B1047" s="253" t="s">
        <v>449</v>
      </c>
      <c r="C1047" s="250" t="s">
        <v>235</v>
      </c>
      <c r="D1047" s="250" t="s">
        <v>369</v>
      </c>
      <c r="K1047" s="250">
        <v>0.55000000000000004</v>
      </c>
      <c r="L1047" s="250">
        <v>28.31</v>
      </c>
      <c r="N1047" s="250">
        <v>2</v>
      </c>
    </row>
    <row r="1048" spans="1:14" ht="15" customHeight="1" x14ac:dyDescent="0.2">
      <c r="A1048" s="252">
        <v>710024722060060</v>
      </c>
      <c r="B1048" s="253" t="s">
        <v>450</v>
      </c>
      <c r="C1048" s="250" t="s">
        <v>235</v>
      </c>
      <c r="D1048" s="250" t="s">
        <v>369</v>
      </c>
      <c r="K1048" s="250">
        <v>0.55000000000000004</v>
      </c>
      <c r="L1048" s="250">
        <v>28.31</v>
      </c>
      <c r="N1048" s="250">
        <v>2</v>
      </c>
    </row>
    <row r="1049" spans="1:14" ht="15" customHeight="1" x14ac:dyDescent="0.2">
      <c r="A1049" s="252">
        <v>710024713060010</v>
      </c>
      <c r="B1049" s="253" t="s">
        <v>451</v>
      </c>
      <c r="C1049" s="250" t="s">
        <v>235</v>
      </c>
      <c r="D1049" s="250" t="s">
        <v>369</v>
      </c>
      <c r="K1049" s="250">
        <v>0.55000000000000004</v>
      </c>
      <c r="L1049" s="250">
        <v>33.28</v>
      </c>
      <c r="N1049" s="250">
        <v>3</v>
      </c>
    </row>
    <row r="1050" spans="1:14" ht="15" customHeight="1" x14ac:dyDescent="0.2">
      <c r="A1050" s="252">
        <v>710024713060015</v>
      </c>
      <c r="B1050" s="253" t="s">
        <v>452</v>
      </c>
      <c r="C1050" s="250" t="s">
        <v>235</v>
      </c>
      <c r="D1050" s="250" t="s">
        <v>369</v>
      </c>
      <c r="K1050" s="250">
        <v>0.55000000000000004</v>
      </c>
      <c r="L1050" s="250">
        <v>33.28</v>
      </c>
      <c r="N1050" s="250">
        <v>3</v>
      </c>
    </row>
    <row r="1051" spans="1:14" ht="15" customHeight="1" x14ac:dyDescent="0.2">
      <c r="A1051" s="252">
        <v>710024713060016</v>
      </c>
      <c r="B1051" s="253" t="s">
        <v>453</v>
      </c>
      <c r="C1051" s="250" t="s">
        <v>235</v>
      </c>
      <c r="D1051" s="250" t="s">
        <v>369</v>
      </c>
      <c r="K1051" s="250">
        <v>0.55000000000000004</v>
      </c>
      <c r="L1051" s="250">
        <v>33.28</v>
      </c>
      <c r="N1051" s="250">
        <v>3</v>
      </c>
    </row>
    <row r="1052" spans="1:14" ht="15" customHeight="1" x14ac:dyDescent="0.2">
      <c r="A1052" s="252">
        <v>710024713060020</v>
      </c>
      <c r="B1052" s="253" t="s">
        <v>454</v>
      </c>
      <c r="C1052" s="250" t="s">
        <v>235</v>
      </c>
      <c r="D1052" s="250" t="s">
        <v>369</v>
      </c>
      <c r="K1052" s="250">
        <v>0.55000000000000004</v>
      </c>
      <c r="L1052" s="250">
        <v>33.28</v>
      </c>
      <c r="N1052" s="250">
        <v>3</v>
      </c>
    </row>
    <row r="1053" spans="1:14" ht="15" customHeight="1" x14ac:dyDescent="0.2">
      <c r="A1053" s="252">
        <v>710024713060025</v>
      </c>
      <c r="B1053" s="253" t="s">
        <v>455</v>
      </c>
      <c r="C1053" s="250" t="s">
        <v>235</v>
      </c>
      <c r="D1053" s="250" t="s">
        <v>369</v>
      </c>
      <c r="K1053" s="250">
        <v>0.55000000000000004</v>
      </c>
      <c r="L1053" s="250">
        <v>33.28</v>
      </c>
      <c r="N1053" s="250">
        <v>3</v>
      </c>
    </row>
    <row r="1054" spans="1:14" ht="15" customHeight="1" x14ac:dyDescent="0.2">
      <c r="A1054" s="252">
        <v>710024713060032</v>
      </c>
      <c r="B1054" s="253" t="s">
        <v>456</v>
      </c>
      <c r="C1054" s="250" t="s">
        <v>235</v>
      </c>
      <c r="D1054" s="250" t="s">
        <v>369</v>
      </c>
      <c r="K1054" s="250">
        <v>0.55000000000000004</v>
      </c>
      <c r="L1054" s="250">
        <v>33.28</v>
      </c>
      <c r="N1054" s="250">
        <v>3</v>
      </c>
    </row>
    <row r="1055" spans="1:14" ht="15" customHeight="1" x14ac:dyDescent="0.2">
      <c r="A1055" s="252">
        <v>710024713060001</v>
      </c>
      <c r="B1055" s="253" t="s">
        <v>457</v>
      </c>
      <c r="C1055" s="250" t="s">
        <v>235</v>
      </c>
      <c r="D1055" s="250" t="s">
        <v>369</v>
      </c>
      <c r="K1055" s="250">
        <v>0.55000000000000004</v>
      </c>
      <c r="L1055" s="250">
        <v>36.36</v>
      </c>
      <c r="N1055" s="250">
        <v>3</v>
      </c>
    </row>
    <row r="1056" spans="1:14" ht="15" customHeight="1" x14ac:dyDescent="0.2">
      <c r="A1056" s="252">
        <v>710024713060002</v>
      </c>
      <c r="B1056" s="253" t="s">
        <v>458</v>
      </c>
      <c r="C1056" s="250" t="s">
        <v>235</v>
      </c>
      <c r="D1056" s="250" t="s">
        <v>369</v>
      </c>
      <c r="K1056" s="250">
        <v>0.55000000000000004</v>
      </c>
      <c r="L1056" s="250">
        <v>36.36</v>
      </c>
      <c r="N1056" s="250">
        <v>3</v>
      </c>
    </row>
    <row r="1057" spans="1:14" ht="15" customHeight="1" x14ac:dyDescent="0.2">
      <c r="A1057" s="252">
        <v>710024713060003</v>
      </c>
      <c r="B1057" s="253" t="s">
        <v>459</v>
      </c>
      <c r="C1057" s="250" t="s">
        <v>235</v>
      </c>
      <c r="D1057" s="250" t="s">
        <v>369</v>
      </c>
      <c r="K1057" s="250">
        <v>0.55000000000000004</v>
      </c>
      <c r="L1057" s="250">
        <v>36.36</v>
      </c>
      <c r="N1057" s="250">
        <v>3</v>
      </c>
    </row>
    <row r="1058" spans="1:14" ht="15" customHeight="1" x14ac:dyDescent="0.2">
      <c r="A1058" s="252">
        <v>710024713060004</v>
      </c>
      <c r="B1058" s="253" t="s">
        <v>460</v>
      </c>
      <c r="C1058" s="250" t="s">
        <v>235</v>
      </c>
      <c r="D1058" s="250" t="s">
        <v>369</v>
      </c>
      <c r="K1058" s="250">
        <v>0.55000000000000004</v>
      </c>
      <c r="L1058" s="250">
        <v>36.36</v>
      </c>
      <c r="N1058" s="250">
        <v>3</v>
      </c>
    </row>
    <row r="1059" spans="1:14" ht="15" customHeight="1" x14ac:dyDescent="0.2">
      <c r="A1059" s="252">
        <v>710024713060005</v>
      </c>
      <c r="B1059" s="253" t="s">
        <v>461</v>
      </c>
      <c r="C1059" s="250" t="s">
        <v>235</v>
      </c>
      <c r="D1059" s="250" t="s">
        <v>369</v>
      </c>
      <c r="K1059" s="250">
        <v>0.55000000000000004</v>
      </c>
      <c r="L1059" s="250">
        <v>36.36</v>
      </c>
      <c r="N1059" s="250">
        <v>3</v>
      </c>
    </row>
    <row r="1060" spans="1:14" ht="15" customHeight="1" x14ac:dyDescent="0.2">
      <c r="A1060" s="252">
        <v>710024713060006</v>
      </c>
      <c r="B1060" s="253" t="s">
        <v>462</v>
      </c>
      <c r="C1060" s="250" t="s">
        <v>235</v>
      </c>
      <c r="D1060" s="250" t="s">
        <v>369</v>
      </c>
      <c r="K1060" s="250">
        <v>0.55000000000000004</v>
      </c>
      <c r="L1060" s="250">
        <v>36.36</v>
      </c>
      <c r="N1060" s="250">
        <v>3</v>
      </c>
    </row>
    <row r="1061" spans="1:14" ht="15" customHeight="1" x14ac:dyDescent="0.2">
      <c r="A1061" s="252">
        <v>710024723060010</v>
      </c>
      <c r="B1061" s="253" t="s">
        <v>463</v>
      </c>
      <c r="C1061" s="250" t="s">
        <v>235</v>
      </c>
      <c r="D1061" s="250" t="s">
        <v>369</v>
      </c>
      <c r="K1061" s="250">
        <v>0.55000000000000004</v>
      </c>
      <c r="L1061" s="250">
        <v>36.44</v>
      </c>
      <c r="N1061" s="250">
        <v>3</v>
      </c>
    </row>
    <row r="1062" spans="1:14" ht="15" customHeight="1" x14ac:dyDescent="0.2">
      <c r="A1062" s="252">
        <v>710024723060015</v>
      </c>
      <c r="B1062" s="253" t="s">
        <v>464</v>
      </c>
      <c r="C1062" s="250" t="s">
        <v>235</v>
      </c>
      <c r="D1062" s="250" t="s">
        <v>369</v>
      </c>
      <c r="K1062" s="250">
        <v>0.55000000000000004</v>
      </c>
      <c r="L1062" s="250">
        <v>36.44</v>
      </c>
      <c r="N1062" s="250">
        <v>3</v>
      </c>
    </row>
    <row r="1063" spans="1:14" ht="15" customHeight="1" x14ac:dyDescent="0.2">
      <c r="A1063" s="252">
        <v>710024723060016</v>
      </c>
      <c r="B1063" s="253" t="s">
        <v>465</v>
      </c>
      <c r="C1063" s="250" t="s">
        <v>235</v>
      </c>
      <c r="D1063" s="250" t="s">
        <v>369</v>
      </c>
      <c r="K1063" s="250">
        <v>0.55000000000000004</v>
      </c>
      <c r="L1063" s="250">
        <v>36.44</v>
      </c>
      <c r="N1063" s="250">
        <v>3</v>
      </c>
    </row>
    <row r="1064" spans="1:14" ht="15" customHeight="1" x14ac:dyDescent="0.2">
      <c r="A1064" s="252">
        <v>710024723060020</v>
      </c>
      <c r="B1064" s="253" t="s">
        <v>466</v>
      </c>
      <c r="C1064" s="250" t="s">
        <v>235</v>
      </c>
      <c r="D1064" s="250" t="s">
        <v>369</v>
      </c>
      <c r="K1064" s="250">
        <v>0.55000000000000004</v>
      </c>
      <c r="L1064" s="250">
        <v>36.44</v>
      </c>
      <c r="N1064" s="250">
        <v>3</v>
      </c>
    </row>
    <row r="1065" spans="1:14" ht="15" customHeight="1" x14ac:dyDescent="0.2">
      <c r="A1065" s="252">
        <v>710024723060025</v>
      </c>
      <c r="B1065" s="253" t="s">
        <v>467</v>
      </c>
      <c r="C1065" s="250" t="s">
        <v>235</v>
      </c>
      <c r="D1065" s="250" t="s">
        <v>369</v>
      </c>
      <c r="K1065" s="250">
        <v>0.55000000000000004</v>
      </c>
      <c r="L1065" s="250">
        <v>36.44</v>
      </c>
      <c r="N1065" s="250">
        <v>3</v>
      </c>
    </row>
    <row r="1066" spans="1:14" ht="15" customHeight="1" x14ac:dyDescent="0.2">
      <c r="A1066" s="252">
        <v>710024723060032</v>
      </c>
      <c r="B1066" s="253" t="s">
        <v>468</v>
      </c>
      <c r="C1066" s="250" t="s">
        <v>235</v>
      </c>
      <c r="D1066" s="250" t="s">
        <v>369</v>
      </c>
      <c r="K1066" s="250">
        <v>0.55000000000000004</v>
      </c>
      <c r="L1066" s="250">
        <v>36.44</v>
      </c>
      <c r="N1066" s="250">
        <v>3</v>
      </c>
    </row>
    <row r="1067" spans="1:14" ht="15" customHeight="1" x14ac:dyDescent="0.2">
      <c r="A1067" s="252">
        <v>710024713060040</v>
      </c>
      <c r="B1067" s="253" t="s">
        <v>469</v>
      </c>
      <c r="C1067" s="250" t="s">
        <v>235</v>
      </c>
      <c r="D1067" s="250" t="s">
        <v>369</v>
      </c>
      <c r="K1067" s="250">
        <v>0.55000000000000004</v>
      </c>
      <c r="L1067" s="250">
        <v>37.67</v>
      </c>
      <c r="N1067" s="250">
        <v>3</v>
      </c>
    </row>
    <row r="1068" spans="1:14" ht="15" customHeight="1" x14ac:dyDescent="0.2">
      <c r="A1068" s="252">
        <v>710024713060050</v>
      </c>
      <c r="B1068" s="253" t="s">
        <v>470</v>
      </c>
      <c r="C1068" s="250" t="s">
        <v>235</v>
      </c>
      <c r="D1068" s="250" t="s">
        <v>369</v>
      </c>
      <c r="K1068" s="250">
        <v>0.55000000000000004</v>
      </c>
      <c r="L1068" s="250">
        <v>39.28</v>
      </c>
      <c r="N1068" s="250">
        <v>3</v>
      </c>
    </row>
    <row r="1069" spans="1:14" ht="15" customHeight="1" x14ac:dyDescent="0.2">
      <c r="A1069" s="252">
        <v>710024713060060</v>
      </c>
      <c r="B1069" s="253" t="s">
        <v>471</v>
      </c>
      <c r="C1069" s="250" t="s">
        <v>235</v>
      </c>
      <c r="D1069" s="250" t="s">
        <v>369</v>
      </c>
      <c r="K1069" s="250">
        <v>0.55000000000000004</v>
      </c>
      <c r="L1069" s="250">
        <v>39.28</v>
      </c>
      <c r="N1069" s="250">
        <v>3</v>
      </c>
    </row>
    <row r="1070" spans="1:14" ht="15" customHeight="1" x14ac:dyDescent="0.2">
      <c r="A1070" s="252">
        <v>710024723060001</v>
      </c>
      <c r="B1070" s="253" t="s">
        <v>472</v>
      </c>
      <c r="C1070" s="250" t="s">
        <v>235</v>
      </c>
      <c r="D1070" s="250" t="s">
        <v>369</v>
      </c>
      <c r="K1070" s="250">
        <v>0.55000000000000004</v>
      </c>
      <c r="L1070" s="250">
        <v>39.770000000000003</v>
      </c>
      <c r="N1070" s="250">
        <v>3</v>
      </c>
    </row>
    <row r="1071" spans="1:14" ht="15" customHeight="1" x14ac:dyDescent="0.2">
      <c r="A1071" s="252">
        <v>710024723060002</v>
      </c>
      <c r="B1071" s="253" t="s">
        <v>473</v>
      </c>
      <c r="C1071" s="250" t="s">
        <v>235</v>
      </c>
      <c r="D1071" s="250" t="s">
        <v>369</v>
      </c>
      <c r="K1071" s="250">
        <v>0.55000000000000004</v>
      </c>
      <c r="L1071" s="250">
        <v>39.770000000000003</v>
      </c>
      <c r="N1071" s="250">
        <v>3</v>
      </c>
    </row>
    <row r="1072" spans="1:14" ht="15" customHeight="1" x14ac:dyDescent="0.2">
      <c r="A1072" s="252">
        <v>710024723060003</v>
      </c>
      <c r="B1072" s="253" t="s">
        <v>474</v>
      </c>
      <c r="C1072" s="250" t="s">
        <v>235</v>
      </c>
      <c r="D1072" s="250" t="s">
        <v>369</v>
      </c>
      <c r="K1072" s="250">
        <v>0.55000000000000004</v>
      </c>
      <c r="L1072" s="250">
        <v>39.770000000000003</v>
      </c>
      <c r="N1072" s="250">
        <v>3</v>
      </c>
    </row>
    <row r="1073" spans="1:14" ht="15" customHeight="1" x14ac:dyDescent="0.2">
      <c r="A1073" s="252">
        <v>710024723060004</v>
      </c>
      <c r="B1073" s="253" t="s">
        <v>475</v>
      </c>
      <c r="C1073" s="250" t="s">
        <v>235</v>
      </c>
      <c r="D1073" s="250" t="s">
        <v>369</v>
      </c>
      <c r="K1073" s="250">
        <v>0.55000000000000004</v>
      </c>
      <c r="L1073" s="250">
        <v>39.770000000000003</v>
      </c>
      <c r="N1073" s="250">
        <v>3</v>
      </c>
    </row>
    <row r="1074" spans="1:14" ht="15" customHeight="1" x14ac:dyDescent="0.2">
      <c r="A1074" s="252">
        <v>710024723060005</v>
      </c>
      <c r="B1074" s="253" t="s">
        <v>476</v>
      </c>
      <c r="C1074" s="250" t="s">
        <v>235</v>
      </c>
      <c r="D1074" s="250" t="s">
        <v>369</v>
      </c>
      <c r="K1074" s="250">
        <v>0.55000000000000004</v>
      </c>
      <c r="L1074" s="250">
        <v>39.770000000000003</v>
      </c>
      <c r="N1074" s="250">
        <v>3</v>
      </c>
    </row>
    <row r="1075" spans="1:14" ht="15" customHeight="1" x14ac:dyDescent="0.2">
      <c r="A1075" s="252">
        <v>710024723060006</v>
      </c>
      <c r="B1075" s="253" t="s">
        <v>477</v>
      </c>
      <c r="C1075" s="250" t="s">
        <v>235</v>
      </c>
      <c r="D1075" s="250" t="s">
        <v>369</v>
      </c>
      <c r="K1075" s="250">
        <v>0.55000000000000004</v>
      </c>
      <c r="L1075" s="250">
        <v>39.770000000000003</v>
      </c>
      <c r="N1075" s="250">
        <v>3</v>
      </c>
    </row>
    <row r="1076" spans="1:14" ht="15" customHeight="1" x14ac:dyDescent="0.2">
      <c r="A1076" s="252">
        <v>710024723060040</v>
      </c>
      <c r="B1076" s="253" t="s">
        <v>478</v>
      </c>
      <c r="C1076" s="250" t="s">
        <v>235</v>
      </c>
      <c r="D1076" s="250" t="s">
        <v>369</v>
      </c>
      <c r="K1076" s="250">
        <v>0.55000000000000004</v>
      </c>
      <c r="L1076" s="250">
        <v>41.2</v>
      </c>
      <c r="N1076" s="250">
        <v>3</v>
      </c>
    </row>
    <row r="1077" spans="1:14" ht="15" customHeight="1" x14ac:dyDescent="0.2">
      <c r="A1077" s="252">
        <v>710024723060050</v>
      </c>
      <c r="B1077" s="253" t="s">
        <v>479</v>
      </c>
      <c r="C1077" s="250" t="s">
        <v>235</v>
      </c>
      <c r="D1077" s="250" t="s">
        <v>369</v>
      </c>
      <c r="K1077" s="250">
        <v>0.55000000000000004</v>
      </c>
      <c r="L1077" s="250">
        <v>42.97</v>
      </c>
      <c r="N1077" s="250">
        <v>3</v>
      </c>
    </row>
    <row r="1078" spans="1:14" ht="15" customHeight="1" x14ac:dyDescent="0.2">
      <c r="A1078" s="252">
        <v>710024723060060</v>
      </c>
      <c r="B1078" s="253" t="s">
        <v>480</v>
      </c>
      <c r="C1078" s="250" t="s">
        <v>235</v>
      </c>
      <c r="D1078" s="250" t="s">
        <v>369</v>
      </c>
      <c r="K1078" s="250">
        <v>0.55000000000000004</v>
      </c>
      <c r="L1078" s="250">
        <v>42.97</v>
      </c>
      <c r="N1078" s="250">
        <v>3</v>
      </c>
    </row>
    <row r="1079" spans="1:14" ht="15" customHeight="1" x14ac:dyDescent="0.2">
      <c r="A1079" s="252">
        <v>710024714060010</v>
      </c>
      <c r="B1079" s="253" t="s">
        <v>481</v>
      </c>
      <c r="C1079" s="250" t="s">
        <v>235</v>
      </c>
      <c r="D1079" s="250" t="s">
        <v>369</v>
      </c>
      <c r="K1079" s="250">
        <v>0.55000000000000004</v>
      </c>
      <c r="L1079" s="250">
        <v>45.24</v>
      </c>
      <c r="N1079" s="250">
        <v>4</v>
      </c>
    </row>
    <row r="1080" spans="1:14" ht="15" customHeight="1" x14ac:dyDescent="0.2">
      <c r="A1080" s="252">
        <v>710024714060015</v>
      </c>
      <c r="B1080" s="253" t="s">
        <v>482</v>
      </c>
      <c r="C1080" s="250" t="s">
        <v>235</v>
      </c>
      <c r="D1080" s="250" t="s">
        <v>369</v>
      </c>
      <c r="K1080" s="250">
        <v>0.55000000000000004</v>
      </c>
      <c r="L1080" s="250">
        <v>45.24</v>
      </c>
      <c r="N1080" s="250">
        <v>4</v>
      </c>
    </row>
    <row r="1081" spans="1:14" ht="15" customHeight="1" x14ac:dyDescent="0.2">
      <c r="A1081" s="252">
        <v>710024714060016</v>
      </c>
      <c r="B1081" s="253" t="s">
        <v>483</v>
      </c>
      <c r="C1081" s="250" t="s">
        <v>235</v>
      </c>
      <c r="D1081" s="250" t="s">
        <v>369</v>
      </c>
      <c r="K1081" s="250">
        <v>0.55000000000000004</v>
      </c>
      <c r="L1081" s="250">
        <v>45.24</v>
      </c>
      <c r="N1081" s="250">
        <v>4</v>
      </c>
    </row>
    <row r="1082" spans="1:14" ht="15" customHeight="1" x14ac:dyDescent="0.2">
      <c r="A1082" s="252">
        <v>710024714060020</v>
      </c>
      <c r="B1082" s="253" t="s">
        <v>484</v>
      </c>
      <c r="C1082" s="250" t="s">
        <v>235</v>
      </c>
      <c r="D1082" s="250" t="s">
        <v>369</v>
      </c>
      <c r="K1082" s="250">
        <v>0.55000000000000004</v>
      </c>
      <c r="L1082" s="250">
        <v>45.24</v>
      </c>
      <c r="N1082" s="250">
        <v>4</v>
      </c>
    </row>
    <row r="1083" spans="1:14" ht="15" customHeight="1" x14ac:dyDescent="0.2">
      <c r="A1083" s="252">
        <v>710024714060025</v>
      </c>
      <c r="B1083" s="253" t="s">
        <v>485</v>
      </c>
      <c r="C1083" s="250" t="s">
        <v>235</v>
      </c>
      <c r="D1083" s="250" t="s">
        <v>369</v>
      </c>
      <c r="K1083" s="250">
        <v>0.55000000000000004</v>
      </c>
      <c r="L1083" s="250">
        <v>45.24</v>
      </c>
      <c r="N1083" s="250">
        <v>4</v>
      </c>
    </row>
    <row r="1084" spans="1:14" ht="15" customHeight="1" x14ac:dyDescent="0.2">
      <c r="A1084" s="252">
        <v>710024714060032</v>
      </c>
      <c r="B1084" s="253" t="s">
        <v>486</v>
      </c>
      <c r="C1084" s="250" t="s">
        <v>235</v>
      </c>
      <c r="D1084" s="250" t="s">
        <v>369</v>
      </c>
      <c r="K1084" s="250">
        <v>0.55000000000000004</v>
      </c>
      <c r="L1084" s="250">
        <v>45.24</v>
      </c>
      <c r="N1084" s="250">
        <v>4</v>
      </c>
    </row>
    <row r="1085" spans="1:14" ht="15" customHeight="1" x14ac:dyDescent="0.2">
      <c r="A1085" s="252">
        <v>710024724060010</v>
      </c>
      <c r="B1085" s="253" t="s">
        <v>487</v>
      </c>
      <c r="C1085" s="250" t="s">
        <v>235</v>
      </c>
      <c r="D1085" s="250" t="s">
        <v>369</v>
      </c>
      <c r="K1085" s="250">
        <v>0.55000000000000004</v>
      </c>
      <c r="L1085" s="250">
        <v>48</v>
      </c>
      <c r="N1085" s="250">
        <v>4</v>
      </c>
    </row>
    <row r="1086" spans="1:14" ht="15" customHeight="1" x14ac:dyDescent="0.2">
      <c r="A1086" s="252">
        <v>710024724060015</v>
      </c>
      <c r="B1086" s="253" t="s">
        <v>488</v>
      </c>
      <c r="C1086" s="250" t="s">
        <v>235</v>
      </c>
      <c r="D1086" s="250" t="s">
        <v>369</v>
      </c>
      <c r="K1086" s="250">
        <v>0.55000000000000004</v>
      </c>
      <c r="L1086" s="250">
        <v>48</v>
      </c>
      <c r="N1086" s="250">
        <v>4</v>
      </c>
    </row>
    <row r="1087" spans="1:14" ht="15" customHeight="1" x14ac:dyDescent="0.2">
      <c r="A1087" s="252">
        <v>710024724060016</v>
      </c>
      <c r="B1087" s="253" t="s">
        <v>489</v>
      </c>
      <c r="C1087" s="250" t="s">
        <v>235</v>
      </c>
      <c r="D1087" s="250" t="s">
        <v>369</v>
      </c>
      <c r="K1087" s="250">
        <v>0.55000000000000004</v>
      </c>
      <c r="L1087" s="250">
        <v>48</v>
      </c>
      <c r="N1087" s="250">
        <v>4</v>
      </c>
    </row>
    <row r="1088" spans="1:14" ht="15" customHeight="1" x14ac:dyDescent="0.2">
      <c r="A1088" s="252">
        <v>710024724060020</v>
      </c>
      <c r="B1088" s="253" t="s">
        <v>490</v>
      </c>
      <c r="C1088" s="250" t="s">
        <v>235</v>
      </c>
      <c r="D1088" s="250" t="s">
        <v>369</v>
      </c>
      <c r="K1088" s="250">
        <v>0.55000000000000004</v>
      </c>
      <c r="L1088" s="250">
        <v>48</v>
      </c>
      <c r="N1088" s="250">
        <v>4</v>
      </c>
    </row>
    <row r="1089" spans="1:14" ht="15" customHeight="1" x14ac:dyDescent="0.2">
      <c r="A1089" s="252">
        <v>710024724060025</v>
      </c>
      <c r="B1089" s="253" t="s">
        <v>491</v>
      </c>
      <c r="C1089" s="250" t="s">
        <v>235</v>
      </c>
      <c r="D1089" s="250" t="s">
        <v>369</v>
      </c>
      <c r="K1089" s="250">
        <v>0.55000000000000004</v>
      </c>
      <c r="L1089" s="250">
        <v>48</v>
      </c>
      <c r="N1089" s="250">
        <v>4</v>
      </c>
    </row>
    <row r="1090" spans="1:14" ht="15" customHeight="1" x14ac:dyDescent="0.2">
      <c r="A1090" s="252">
        <v>710024724060032</v>
      </c>
      <c r="B1090" s="253" t="s">
        <v>492</v>
      </c>
      <c r="C1090" s="250" t="s">
        <v>235</v>
      </c>
      <c r="D1090" s="250" t="s">
        <v>369</v>
      </c>
      <c r="K1090" s="250">
        <v>0.55000000000000004</v>
      </c>
      <c r="L1090" s="250">
        <v>48</v>
      </c>
      <c r="N1090" s="250">
        <v>4</v>
      </c>
    </row>
    <row r="1091" spans="1:14" ht="15" customHeight="1" x14ac:dyDescent="0.2">
      <c r="A1091" s="252">
        <v>710024714060003</v>
      </c>
      <c r="B1091" s="253" t="s">
        <v>493</v>
      </c>
      <c r="C1091" s="250" t="s">
        <v>235</v>
      </c>
      <c r="D1091" s="250" t="s">
        <v>369</v>
      </c>
      <c r="K1091" s="250">
        <v>0.55000000000000004</v>
      </c>
      <c r="L1091" s="250">
        <v>49.24</v>
      </c>
      <c r="N1091" s="250">
        <v>4</v>
      </c>
    </row>
    <row r="1092" spans="1:14" ht="15" customHeight="1" x14ac:dyDescent="0.2">
      <c r="A1092" s="252">
        <v>710024714060005</v>
      </c>
      <c r="B1092" s="253" t="s">
        <v>494</v>
      </c>
      <c r="C1092" s="250" t="s">
        <v>235</v>
      </c>
      <c r="D1092" s="250" t="s">
        <v>369</v>
      </c>
      <c r="K1092" s="250">
        <v>0.55000000000000004</v>
      </c>
      <c r="L1092" s="250">
        <v>49.24</v>
      </c>
      <c r="N1092" s="250">
        <v>4</v>
      </c>
    </row>
    <row r="1093" spans="1:14" ht="15" customHeight="1" x14ac:dyDescent="0.2">
      <c r="A1093" s="252">
        <v>710024714060006</v>
      </c>
      <c r="B1093" s="253" t="s">
        <v>495</v>
      </c>
      <c r="C1093" s="250" t="s">
        <v>235</v>
      </c>
      <c r="D1093" s="250" t="s">
        <v>369</v>
      </c>
      <c r="K1093" s="250">
        <v>0.55000000000000004</v>
      </c>
      <c r="L1093" s="250">
        <v>49.24</v>
      </c>
      <c r="N1093" s="250">
        <v>4</v>
      </c>
    </row>
    <row r="1094" spans="1:14" ht="15" customHeight="1" x14ac:dyDescent="0.2">
      <c r="A1094" s="252">
        <v>710024714060040</v>
      </c>
      <c r="B1094" s="253" t="s">
        <v>496</v>
      </c>
      <c r="C1094" s="250" t="s">
        <v>235</v>
      </c>
      <c r="D1094" s="250" t="s">
        <v>369</v>
      </c>
      <c r="K1094" s="250">
        <v>0.55000000000000004</v>
      </c>
      <c r="L1094" s="250">
        <v>51.21</v>
      </c>
      <c r="N1094" s="250">
        <v>4</v>
      </c>
    </row>
    <row r="1095" spans="1:14" ht="15" customHeight="1" x14ac:dyDescent="0.2">
      <c r="A1095" s="252">
        <v>710024724060002</v>
      </c>
      <c r="B1095" s="253" t="s">
        <v>497</v>
      </c>
      <c r="C1095" s="250" t="s">
        <v>235</v>
      </c>
      <c r="D1095" s="250" t="s">
        <v>369</v>
      </c>
      <c r="K1095" s="250">
        <v>0.55000000000000004</v>
      </c>
      <c r="L1095" s="250">
        <v>52.28</v>
      </c>
      <c r="N1095" s="250">
        <v>4</v>
      </c>
    </row>
    <row r="1096" spans="1:14" ht="15" customHeight="1" x14ac:dyDescent="0.2">
      <c r="A1096" s="252">
        <v>710024724060003</v>
      </c>
      <c r="B1096" s="253" t="s">
        <v>498</v>
      </c>
      <c r="C1096" s="250" t="s">
        <v>235</v>
      </c>
      <c r="D1096" s="250" t="s">
        <v>369</v>
      </c>
      <c r="K1096" s="250">
        <v>0.55000000000000004</v>
      </c>
      <c r="L1096" s="250">
        <v>52.28</v>
      </c>
      <c r="N1096" s="250">
        <v>4</v>
      </c>
    </row>
    <row r="1097" spans="1:14" ht="15" customHeight="1" x14ac:dyDescent="0.2">
      <c r="A1097" s="252">
        <v>710024724060005</v>
      </c>
      <c r="B1097" s="253" t="s">
        <v>499</v>
      </c>
      <c r="C1097" s="250" t="s">
        <v>235</v>
      </c>
      <c r="D1097" s="250" t="s">
        <v>369</v>
      </c>
      <c r="K1097" s="250">
        <v>0.55000000000000004</v>
      </c>
      <c r="L1097" s="250">
        <v>52.28</v>
      </c>
      <c r="N1097" s="250">
        <v>4</v>
      </c>
    </row>
    <row r="1098" spans="1:14" ht="15" customHeight="1" x14ac:dyDescent="0.2">
      <c r="A1098" s="252">
        <v>710024724060006</v>
      </c>
      <c r="B1098" s="253" t="s">
        <v>500</v>
      </c>
      <c r="C1098" s="250" t="s">
        <v>235</v>
      </c>
      <c r="D1098" s="250" t="s">
        <v>369</v>
      </c>
      <c r="K1098" s="250">
        <v>0.55000000000000004</v>
      </c>
      <c r="L1098" s="250">
        <v>52.28</v>
      </c>
      <c r="N1098" s="250">
        <v>4</v>
      </c>
    </row>
    <row r="1099" spans="1:14" ht="15" customHeight="1" x14ac:dyDescent="0.2">
      <c r="A1099" s="252">
        <v>710024714060050</v>
      </c>
      <c r="B1099" s="253" t="s">
        <v>501</v>
      </c>
      <c r="C1099" s="250" t="s">
        <v>235</v>
      </c>
      <c r="D1099" s="250" t="s">
        <v>369</v>
      </c>
      <c r="K1099" s="250">
        <v>0.55000000000000004</v>
      </c>
      <c r="L1099" s="250">
        <v>53.67</v>
      </c>
      <c r="N1099" s="250">
        <v>4</v>
      </c>
    </row>
    <row r="1100" spans="1:14" ht="15" customHeight="1" x14ac:dyDescent="0.2">
      <c r="A1100" s="252">
        <v>710024714060060</v>
      </c>
      <c r="B1100" s="253" t="s">
        <v>502</v>
      </c>
      <c r="C1100" s="250" t="s">
        <v>235</v>
      </c>
      <c r="D1100" s="250" t="s">
        <v>369</v>
      </c>
      <c r="K1100" s="250">
        <v>0.55000000000000004</v>
      </c>
      <c r="L1100" s="250">
        <v>53.67</v>
      </c>
      <c r="N1100" s="250">
        <v>4</v>
      </c>
    </row>
    <row r="1101" spans="1:14" ht="15" customHeight="1" x14ac:dyDescent="0.2">
      <c r="A1101" s="252">
        <v>710024724060040</v>
      </c>
      <c r="B1101" s="253" t="s">
        <v>503</v>
      </c>
      <c r="C1101" s="250" t="s">
        <v>235</v>
      </c>
      <c r="D1101" s="250" t="s">
        <v>369</v>
      </c>
      <c r="K1101" s="250">
        <v>0.55000000000000004</v>
      </c>
      <c r="L1101" s="250">
        <v>54.37</v>
      </c>
      <c r="N1101" s="250">
        <v>4</v>
      </c>
    </row>
    <row r="1102" spans="1:14" ht="15" customHeight="1" x14ac:dyDescent="0.2">
      <c r="A1102" s="252">
        <v>710024724060050</v>
      </c>
      <c r="B1102" s="253" t="s">
        <v>504</v>
      </c>
      <c r="C1102" s="250" t="s">
        <v>235</v>
      </c>
      <c r="D1102" s="250" t="s">
        <v>369</v>
      </c>
      <c r="K1102" s="250">
        <v>0.55000000000000004</v>
      </c>
      <c r="L1102" s="250">
        <v>56.98</v>
      </c>
      <c r="N1102" s="250">
        <v>4</v>
      </c>
    </row>
    <row r="1103" spans="1:14" ht="15" customHeight="1" x14ac:dyDescent="0.2">
      <c r="A1103" s="252">
        <v>710024724060060</v>
      </c>
      <c r="B1103" s="253" t="s">
        <v>505</v>
      </c>
      <c r="C1103" s="250" t="s">
        <v>235</v>
      </c>
      <c r="D1103" s="250" t="s">
        <v>369</v>
      </c>
      <c r="K1103" s="250">
        <v>0.55000000000000004</v>
      </c>
      <c r="L1103" s="250">
        <v>56.98</v>
      </c>
      <c r="N1103" s="250">
        <v>4</v>
      </c>
    </row>
    <row r="1104" spans="1:14" ht="15" customHeight="1" x14ac:dyDescent="0.2">
      <c r="A1104" s="252">
        <v>710021410000100</v>
      </c>
      <c r="B1104" s="253" t="s">
        <v>506</v>
      </c>
      <c r="C1104" s="250" t="s">
        <v>235</v>
      </c>
      <c r="D1104" s="250" t="s">
        <v>60</v>
      </c>
      <c r="K1104" s="250">
        <v>0.55000000000000004</v>
      </c>
      <c r="L1104" s="250">
        <v>14.63</v>
      </c>
      <c r="N1104" s="250">
        <v>1</v>
      </c>
    </row>
    <row r="1105" spans="1:14" ht="15" customHeight="1" x14ac:dyDescent="0.2">
      <c r="A1105" s="252">
        <v>710021410000032</v>
      </c>
      <c r="B1105" s="253" t="s">
        <v>507</v>
      </c>
      <c r="C1105" s="250" t="s">
        <v>235</v>
      </c>
      <c r="D1105" s="250" t="s">
        <v>60</v>
      </c>
      <c r="K1105" s="250">
        <v>0.55000000000000004</v>
      </c>
      <c r="L1105" s="250">
        <v>7.71</v>
      </c>
      <c r="N1105" s="250">
        <v>1</v>
      </c>
    </row>
    <row r="1106" spans="1:14" ht="15" customHeight="1" x14ac:dyDescent="0.2">
      <c r="A1106" s="252">
        <v>710021410000063</v>
      </c>
      <c r="B1106" s="253" t="s">
        <v>508</v>
      </c>
      <c r="C1106" s="250" t="s">
        <v>235</v>
      </c>
      <c r="D1106" s="250" t="s">
        <v>60</v>
      </c>
      <c r="K1106" s="250">
        <v>0.55000000000000004</v>
      </c>
      <c r="L1106" s="250">
        <v>9.2899999999999991</v>
      </c>
      <c r="N1106" s="250">
        <v>1</v>
      </c>
    </row>
    <row r="1107" spans="1:14" ht="15" customHeight="1" x14ac:dyDescent="0.2">
      <c r="A1107" s="252">
        <v>710021420000100</v>
      </c>
      <c r="B1107" s="253" t="s">
        <v>509</v>
      </c>
      <c r="C1107" s="250" t="s">
        <v>235</v>
      </c>
      <c r="D1107" s="250" t="s">
        <v>60</v>
      </c>
      <c r="K1107" s="250">
        <v>0.55000000000000004</v>
      </c>
      <c r="L1107" s="250">
        <v>29.56</v>
      </c>
      <c r="N1107" s="250">
        <v>2</v>
      </c>
    </row>
    <row r="1108" spans="1:14" ht="15" customHeight="1" x14ac:dyDescent="0.2">
      <c r="A1108" s="252">
        <v>710021420000032</v>
      </c>
      <c r="B1108" s="253" t="s">
        <v>510</v>
      </c>
      <c r="C1108" s="250" t="s">
        <v>235</v>
      </c>
      <c r="D1108" s="250" t="s">
        <v>60</v>
      </c>
      <c r="K1108" s="250">
        <v>0.55000000000000004</v>
      </c>
      <c r="L1108" s="250">
        <v>16.12</v>
      </c>
      <c r="N1108" s="250">
        <v>2</v>
      </c>
    </row>
    <row r="1109" spans="1:14" ht="15" customHeight="1" x14ac:dyDescent="0.2">
      <c r="A1109" s="252">
        <v>710021420000063</v>
      </c>
      <c r="B1109" s="253" t="s">
        <v>511</v>
      </c>
      <c r="C1109" s="250" t="s">
        <v>235</v>
      </c>
      <c r="D1109" s="250" t="s">
        <v>60</v>
      </c>
      <c r="K1109" s="250">
        <v>0.55000000000000004</v>
      </c>
      <c r="L1109" s="250">
        <v>18.690000000000001</v>
      </c>
      <c r="N1109" s="250">
        <v>2</v>
      </c>
    </row>
    <row r="1110" spans="1:14" ht="15" customHeight="1" x14ac:dyDescent="0.2">
      <c r="A1110" s="252">
        <v>710021430000100</v>
      </c>
      <c r="B1110" s="253" t="s">
        <v>512</v>
      </c>
      <c r="C1110" s="250" t="s">
        <v>235</v>
      </c>
      <c r="D1110" s="250" t="s">
        <v>60</v>
      </c>
      <c r="K1110" s="250">
        <v>0.55000000000000004</v>
      </c>
      <c r="L1110" s="250">
        <v>45.37</v>
      </c>
      <c r="N1110" s="250">
        <v>3</v>
      </c>
    </row>
    <row r="1111" spans="1:14" ht="15" customHeight="1" x14ac:dyDescent="0.2">
      <c r="A1111" s="252">
        <v>710021430000032</v>
      </c>
      <c r="B1111" s="253" t="s">
        <v>513</v>
      </c>
      <c r="C1111" s="250" t="s">
        <v>235</v>
      </c>
      <c r="D1111" s="250" t="s">
        <v>60</v>
      </c>
      <c r="K1111" s="250">
        <v>0.55000000000000004</v>
      </c>
      <c r="L1111" s="250">
        <v>24.02</v>
      </c>
      <c r="N1111" s="250">
        <v>3</v>
      </c>
    </row>
    <row r="1112" spans="1:14" ht="15" customHeight="1" x14ac:dyDescent="0.2">
      <c r="A1112" s="252">
        <v>710021430000063</v>
      </c>
      <c r="B1112" s="253" t="s">
        <v>514</v>
      </c>
      <c r="C1112" s="250" t="s">
        <v>235</v>
      </c>
      <c r="D1112" s="250" t="s">
        <v>60</v>
      </c>
      <c r="K1112" s="250">
        <v>0.55000000000000004</v>
      </c>
      <c r="L1112" s="250">
        <v>28.97</v>
      </c>
      <c r="N1112" s="250">
        <v>3</v>
      </c>
    </row>
    <row r="1113" spans="1:14" ht="15" customHeight="1" x14ac:dyDescent="0.2">
      <c r="A1113" s="252">
        <v>710021440000100</v>
      </c>
      <c r="B1113" s="253" t="s">
        <v>515</v>
      </c>
      <c r="C1113" s="250" t="s">
        <v>235</v>
      </c>
      <c r="D1113" s="250" t="s">
        <v>60</v>
      </c>
      <c r="K1113" s="250">
        <v>0.55000000000000004</v>
      </c>
      <c r="L1113" s="250">
        <v>60.99</v>
      </c>
      <c r="N1113" s="250">
        <v>4</v>
      </c>
    </row>
    <row r="1114" spans="1:14" ht="15" customHeight="1" x14ac:dyDescent="0.2">
      <c r="A1114" s="252">
        <v>710021440000032</v>
      </c>
      <c r="B1114" s="253" t="s">
        <v>516</v>
      </c>
      <c r="C1114" s="250" t="s">
        <v>235</v>
      </c>
      <c r="D1114" s="250" t="s">
        <v>60</v>
      </c>
      <c r="K1114" s="250">
        <v>0.55000000000000004</v>
      </c>
      <c r="L1114" s="250">
        <v>32.130000000000003</v>
      </c>
      <c r="N1114" s="250">
        <v>4</v>
      </c>
    </row>
    <row r="1115" spans="1:14" ht="15" customHeight="1" x14ac:dyDescent="0.2">
      <c r="A1115" s="252">
        <v>710021440000063</v>
      </c>
      <c r="B1115" s="253" t="s">
        <v>517</v>
      </c>
      <c r="C1115" s="250" t="s">
        <v>235</v>
      </c>
      <c r="D1115" s="250" t="s">
        <v>60</v>
      </c>
      <c r="K1115" s="250">
        <v>0.55000000000000004</v>
      </c>
      <c r="L1115" s="250">
        <v>39.049999999999997</v>
      </c>
      <c r="N1115" s="250">
        <v>4</v>
      </c>
    </row>
    <row r="1116" spans="1:14" ht="15" customHeight="1" x14ac:dyDescent="0.2">
      <c r="A1116" s="252">
        <v>710023400000050</v>
      </c>
      <c r="B1116" s="253" t="s">
        <v>518</v>
      </c>
      <c r="C1116" s="250" t="s">
        <v>235</v>
      </c>
      <c r="D1116" s="250" t="s">
        <v>60</v>
      </c>
      <c r="K1116" s="250">
        <v>0.55000000000000004</v>
      </c>
      <c r="L1116" s="250">
        <v>28.08</v>
      </c>
      <c r="N1116" s="250">
        <v>2</v>
      </c>
    </row>
    <row r="1117" spans="1:14" ht="15" customHeight="1" x14ac:dyDescent="0.2">
      <c r="A1117" s="252">
        <v>710023400000051</v>
      </c>
      <c r="B1117" s="253" t="s">
        <v>519</v>
      </c>
      <c r="C1117" s="250" t="s">
        <v>235</v>
      </c>
      <c r="D1117" s="250" t="s">
        <v>60</v>
      </c>
      <c r="K1117" s="250">
        <v>0.55000000000000004</v>
      </c>
      <c r="L1117" s="250">
        <v>30.57</v>
      </c>
      <c r="N1117" s="250">
        <v>2</v>
      </c>
    </row>
    <row r="1118" spans="1:14" ht="15" customHeight="1" x14ac:dyDescent="0.2">
      <c r="B1118" s="253" t="s">
        <v>3906</v>
      </c>
      <c r="C1118" s="250" t="s">
        <v>235</v>
      </c>
      <c r="D1118" s="250" t="s">
        <v>60</v>
      </c>
      <c r="K1118" s="250">
        <v>0.55000000000000004</v>
      </c>
      <c r="L1118" s="250">
        <v>38.25</v>
      </c>
      <c r="N1118" s="250">
        <v>3</v>
      </c>
    </row>
    <row r="1119" spans="1:14" ht="15" customHeight="1" x14ac:dyDescent="0.2">
      <c r="B1119" s="253" t="s">
        <v>4138</v>
      </c>
      <c r="C1119" s="250" t="s">
        <v>235</v>
      </c>
      <c r="D1119" s="250" t="s">
        <v>60</v>
      </c>
      <c r="K1119" s="250">
        <v>0.55000000000000004</v>
      </c>
      <c r="L1119" s="250">
        <v>38.53</v>
      </c>
      <c r="N1119" s="250">
        <v>3</v>
      </c>
    </row>
    <row r="1120" spans="1:14" ht="15" customHeight="1" x14ac:dyDescent="0.2">
      <c r="A1120" s="252">
        <v>710023400000056</v>
      </c>
      <c r="B1120" s="253" t="s">
        <v>520</v>
      </c>
      <c r="C1120" s="250" t="s">
        <v>235</v>
      </c>
      <c r="D1120" s="250" t="s">
        <v>60</v>
      </c>
      <c r="K1120" s="250">
        <v>0.55000000000000004</v>
      </c>
      <c r="L1120" s="250">
        <v>57.26</v>
      </c>
      <c r="N1120" s="250">
        <v>3</v>
      </c>
    </row>
    <row r="1121" spans="1:14" ht="15" customHeight="1" x14ac:dyDescent="0.2">
      <c r="A1121" s="252">
        <v>710023400000057</v>
      </c>
      <c r="B1121" s="253" t="s">
        <v>521</v>
      </c>
      <c r="C1121" s="250" t="s">
        <v>235</v>
      </c>
      <c r="D1121" s="250" t="s">
        <v>60</v>
      </c>
      <c r="K1121" s="250">
        <v>0.55000000000000004</v>
      </c>
      <c r="L1121" s="250">
        <v>57.79</v>
      </c>
      <c r="N1121" s="250">
        <v>3</v>
      </c>
    </row>
    <row r="1122" spans="1:14" ht="15" customHeight="1" x14ac:dyDescent="0.2">
      <c r="A1122" s="252">
        <v>710023400000054</v>
      </c>
      <c r="B1122" s="253" t="s">
        <v>522</v>
      </c>
      <c r="C1122" s="250" t="s">
        <v>235</v>
      </c>
      <c r="D1122" s="250" t="s">
        <v>60</v>
      </c>
      <c r="K1122" s="250">
        <v>0.55000000000000004</v>
      </c>
      <c r="L1122" s="250">
        <v>42.05</v>
      </c>
      <c r="N1122" s="250">
        <v>3</v>
      </c>
    </row>
    <row r="1123" spans="1:14" ht="15" customHeight="1" x14ac:dyDescent="0.2">
      <c r="A1123" s="252">
        <v>710023400000055</v>
      </c>
      <c r="B1123" s="253" t="s">
        <v>523</v>
      </c>
      <c r="C1123" s="250" t="s">
        <v>235</v>
      </c>
      <c r="D1123" s="250" t="s">
        <v>60</v>
      </c>
      <c r="K1123" s="250">
        <v>0.55000000000000004</v>
      </c>
      <c r="L1123" s="250">
        <v>45.54</v>
      </c>
      <c r="N1123" s="250">
        <v>3</v>
      </c>
    </row>
    <row r="1124" spans="1:14" ht="15" customHeight="1" x14ac:dyDescent="0.2">
      <c r="A1124" s="252">
        <v>710023400000060</v>
      </c>
      <c r="B1124" s="253" t="s">
        <v>524</v>
      </c>
      <c r="C1124" s="250" t="s">
        <v>235</v>
      </c>
      <c r="D1124" s="250" t="s">
        <v>60</v>
      </c>
      <c r="K1124" s="250">
        <v>0.55000000000000004</v>
      </c>
      <c r="L1124" s="250">
        <v>76.41</v>
      </c>
      <c r="N1124" s="250">
        <v>4</v>
      </c>
    </row>
    <row r="1125" spans="1:14" ht="15" customHeight="1" x14ac:dyDescent="0.2">
      <c r="A1125" s="252">
        <v>710023400000061</v>
      </c>
      <c r="B1125" s="253" t="s">
        <v>525</v>
      </c>
      <c r="C1125" s="250" t="s">
        <v>235</v>
      </c>
      <c r="D1125" s="250" t="s">
        <v>60</v>
      </c>
      <c r="K1125" s="250">
        <v>0.55000000000000004</v>
      </c>
      <c r="L1125" s="250">
        <v>77.069999999999993</v>
      </c>
      <c r="N1125" s="250">
        <v>4</v>
      </c>
    </row>
    <row r="1126" spans="1:14" ht="15" customHeight="1" x14ac:dyDescent="0.2">
      <c r="A1126" s="252">
        <v>710023400000058</v>
      </c>
      <c r="B1126" s="253" t="s">
        <v>526</v>
      </c>
      <c r="C1126" s="250" t="s">
        <v>235</v>
      </c>
      <c r="D1126" s="250" t="s">
        <v>60</v>
      </c>
      <c r="K1126" s="250">
        <v>0.55000000000000004</v>
      </c>
      <c r="L1126" s="250">
        <v>56.14</v>
      </c>
      <c r="N1126" s="250">
        <v>4</v>
      </c>
    </row>
    <row r="1127" spans="1:14" ht="15" customHeight="1" x14ac:dyDescent="0.2">
      <c r="A1127" s="252">
        <v>710023400000059</v>
      </c>
      <c r="B1127" s="253" t="s">
        <v>527</v>
      </c>
      <c r="C1127" s="250" t="s">
        <v>235</v>
      </c>
      <c r="D1127" s="250" t="s">
        <v>60</v>
      </c>
      <c r="K1127" s="250">
        <v>0.55000000000000004</v>
      </c>
      <c r="L1127" s="250">
        <v>61</v>
      </c>
      <c r="N1127" s="250">
        <v>4</v>
      </c>
    </row>
    <row r="1128" spans="1:14" ht="15" customHeight="1" x14ac:dyDescent="0.2">
      <c r="B1128" s="253" t="s">
        <v>4139</v>
      </c>
      <c r="C1128" s="250" t="s">
        <v>235</v>
      </c>
      <c r="D1128" s="250" t="s">
        <v>3907</v>
      </c>
      <c r="K1128" s="250">
        <v>0.55000000000000004</v>
      </c>
      <c r="L1128" s="250">
        <v>35.700000000000003</v>
      </c>
      <c r="N1128" s="250">
        <v>1</v>
      </c>
    </row>
    <row r="1129" spans="1:14" ht="15" customHeight="1" x14ac:dyDescent="0.2">
      <c r="A1129" s="248" t="s">
        <v>528</v>
      </c>
      <c r="B1129" s="254" t="s">
        <v>529</v>
      </c>
      <c r="C1129" s="250" t="s">
        <v>235</v>
      </c>
      <c r="D1129" s="250" t="s">
        <v>530</v>
      </c>
      <c r="K1129" s="250">
        <v>0.55000000000000004</v>
      </c>
      <c r="L1129" s="250">
        <v>33.46</v>
      </c>
      <c r="N1129" s="250">
        <v>0.5</v>
      </c>
    </row>
    <row r="1130" spans="1:14" ht="15" customHeight="1" x14ac:dyDescent="0.2">
      <c r="A1130" s="252">
        <v>710170200000027</v>
      </c>
      <c r="B1130" s="253" t="s">
        <v>3908</v>
      </c>
      <c r="C1130" s="250" t="s">
        <v>235</v>
      </c>
      <c r="D1130" s="250" t="s">
        <v>60</v>
      </c>
      <c r="K1130" s="250">
        <v>0.55000000000000004</v>
      </c>
      <c r="L1130" s="250">
        <v>3594</v>
      </c>
    </row>
    <row r="1131" spans="1:14" ht="15" customHeight="1" x14ac:dyDescent="0.2">
      <c r="A1131" s="252">
        <v>710170200000030</v>
      </c>
      <c r="B1131" s="253" t="s">
        <v>4140</v>
      </c>
      <c r="C1131" s="250" t="s">
        <v>235</v>
      </c>
      <c r="D1131" s="250" t="s">
        <v>60</v>
      </c>
      <c r="K1131" s="250">
        <v>0.55000000000000004</v>
      </c>
      <c r="L1131" s="250">
        <v>3754</v>
      </c>
    </row>
    <row r="1132" spans="1:14" ht="15" customHeight="1" x14ac:dyDescent="0.2">
      <c r="A1132" s="252">
        <v>710170200000028</v>
      </c>
      <c r="B1132" s="253" t="s">
        <v>4141</v>
      </c>
      <c r="C1132" s="250" t="s">
        <v>235</v>
      </c>
      <c r="D1132" s="250" t="s">
        <v>60</v>
      </c>
      <c r="K1132" s="250">
        <v>0.55000000000000004</v>
      </c>
      <c r="L1132" s="250">
        <v>3793</v>
      </c>
    </row>
    <row r="1133" spans="1:14" ht="15" customHeight="1" x14ac:dyDescent="0.2">
      <c r="A1133" s="252">
        <v>710170200000031</v>
      </c>
      <c r="B1133" s="253" t="s">
        <v>4142</v>
      </c>
      <c r="C1133" s="250" t="s">
        <v>235</v>
      </c>
      <c r="D1133" s="250" t="s">
        <v>60</v>
      </c>
      <c r="K1133" s="250">
        <v>0.55000000000000004</v>
      </c>
      <c r="L1133" s="250">
        <v>3953</v>
      </c>
    </row>
    <row r="1134" spans="1:14" ht="15" customHeight="1" x14ac:dyDescent="0.2">
      <c r="A1134" s="252">
        <v>710170200000026</v>
      </c>
      <c r="B1134" s="253" t="s">
        <v>3909</v>
      </c>
      <c r="C1134" s="250" t="s">
        <v>235</v>
      </c>
      <c r="D1134" s="250" t="s">
        <v>60</v>
      </c>
      <c r="K1134" s="250">
        <v>0.55000000000000004</v>
      </c>
      <c r="L1134" s="250">
        <v>3594</v>
      </c>
    </row>
    <row r="1135" spans="1:14" ht="15" customHeight="1" x14ac:dyDescent="0.2">
      <c r="A1135" s="252">
        <v>710170200000029</v>
      </c>
      <c r="B1135" s="253" t="s">
        <v>4143</v>
      </c>
      <c r="C1135" s="250" t="s">
        <v>235</v>
      </c>
      <c r="D1135" s="250" t="s">
        <v>60</v>
      </c>
      <c r="K1135" s="250">
        <v>0.55000000000000004</v>
      </c>
      <c r="L1135" s="250">
        <v>3754</v>
      </c>
    </row>
    <row r="1136" spans="1:14" ht="15" customHeight="1" x14ac:dyDescent="0.2">
      <c r="A1136" s="252">
        <v>710170300000063</v>
      </c>
      <c r="B1136" s="253" t="s">
        <v>4144</v>
      </c>
      <c r="C1136" s="250" t="s">
        <v>235</v>
      </c>
      <c r="D1136" s="250" t="s">
        <v>60</v>
      </c>
      <c r="K1136" s="250">
        <v>0.55000000000000004</v>
      </c>
      <c r="L1136" s="250">
        <v>385</v>
      </c>
    </row>
    <row r="1137" spans="1:12" ht="15" customHeight="1" x14ac:dyDescent="0.2">
      <c r="A1137" s="252">
        <v>710170300000125</v>
      </c>
      <c r="B1137" s="253" t="s">
        <v>3910</v>
      </c>
      <c r="C1137" s="250" t="s">
        <v>235</v>
      </c>
      <c r="D1137" s="250" t="s">
        <v>60</v>
      </c>
      <c r="K1137" s="250">
        <v>0.55000000000000004</v>
      </c>
      <c r="L1137" s="250">
        <v>385</v>
      </c>
    </row>
    <row r="1138" spans="1:12" ht="15" customHeight="1" x14ac:dyDescent="0.2">
      <c r="A1138" s="252">
        <v>710170300000160</v>
      </c>
      <c r="B1138" s="253" t="s">
        <v>4145</v>
      </c>
      <c r="C1138" s="250" t="s">
        <v>235</v>
      </c>
      <c r="D1138" s="250" t="s">
        <v>60</v>
      </c>
      <c r="K1138" s="250">
        <v>0.55000000000000004</v>
      </c>
      <c r="L1138" s="250">
        <v>666</v>
      </c>
    </row>
    <row r="1139" spans="1:12" ht="15" customHeight="1" x14ac:dyDescent="0.2">
      <c r="A1139" s="252">
        <v>710170300000250</v>
      </c>
      <c r="B1139" s="253" t="s">
        <v>4146</v>
      </c>
      <c r="C1139" s="250" t="s">
        <v>235</v>
      </c>
      <c r="D1139" s="250" t="s">
        <v>60</v>
      </c>
      <c r="K1139" s="250">
        <v>0.55000000000000004</v>
      </c>
      <c r="L1139" s="250">
        <v>687</v>
      </c>
    </row>
    <row r="1140" spans="1:12" ht="15" customHeight="1" x14ac:dyDescent="0.2">
      <c r="A1140" s="252">
        <v>710170300000400</v>
      </c>
      <c r="B1140" s="253" t="s">
        <v>4147</v>
      </c>
      <c r="C1140" s="250" t="s">
        <v>235</v>
      </c>
      <c r="D1140" s="250" t="s">
        <v>60</v>
      </c>
      <c r="K1140" s="250">
        <v>0.55000000000000004</v>
      </c>
      <c r="L1140" s="250">
        <v>814</v>
      </c>
    </row>
    <row r="1141" spans="1:12" ht="15" customHeight="1" x14ac:dyDescent="0.2">
      <c r="A1141" s="252">
        <v>710170300000630</v>
      </c>
      <c r="B1141" s="253" t="s">
        <v>4148</v>
      </c>
      <c r="C1141" s="250" t="s">
        <v>235</v>
      </c>
      <c r="D1141" s="250" t="s">
        <v>60</v>
      </c>
      <c r="K1141" s="250">
        <v>0.55000000000000004</v>
      </c>
      <c r="L1141" s="250">
        <v>1877</v>
      </c>
    </row>
    <row r="1142" spans="1:12" ht="15" customHeight="1" x14ac:dyDescent="0.2">
      <c r="A1142" s="252">
        <v>710174000000276</v>
      </c>
      <c r="B1142" s="253" t="s">
        <v>4149</v>
      </c>
      <c r="C1142" s="250" t="s">
        <v>235</v>
      </c>
      <c r="D1142" s="250" t="s">
        <v>60</v>
      </c>
      <c r="K1142" s="250">
        <v>0.55000000000000004</v>
      </c>
      <c r="L1142" s="250">
        <v>556</v>
      </c>
    </row>
    <row r="1143" spans="1:12" ht="15" customHeight="1" x14ac:dyDescent="0.2">
      <c r="A1143" s="252">
        <v>710174000000277</v>
      </c>
      <c r="B1143" s="253" t="s">
        <v>3911</v>
      </c>
      <c r="C1143" s="250" t="s">
        <v>235</v>
      </c>
      <c r="D1143" s="250" t="s">
        <v>60</v>
      </c>
      <c r="K1143" s="250">
        <v>0.55000000000000004</v>
      </c>
      <c r="L1143" s="250">
        <v>573</v>
      </c>
    </row>
    <row r="1144" spans="1:12" ht="15" customHeight="1" x14ac:dyDescent="0.2">
      <c r="A1144" s="252">
        <v>710174000000278</v>
      </c>
      <c r="B1144" s="253" t="s">
        <v>3912</v>
      </c>
      <c r="C1144" s="250" t="s">
        <v>235</v>
      </c>
      <c r="D1144" s="250" t="s">
        <v>60</v>
      </c>
      <c r="K1144" s="250">
        <v>0.55000000000000004</v>
      </c>
      <c r="L1144" s="250">
        <v>918</v>
      </c>
    </row>
    <row r="1145" spans="1:12" ht="15" customHeight="1" x14ac:dyDescent="0.2">
      <c r="A1145" s="252">
        <v>710174000000279</v>
      </c>
      <c r="B1145" s="253" t="s">
        <v>3913</v>
      </c>
      <c r="C1145" s="250" t="s">
        <v>235</v>
      </c>
      <c r="D1145" s="250" t="s">
        <v>60</v>
      </c>
      <c r="K1145" s="250">
        <v>0.55000000000000004</v>
      </c>
      <c r="L1145" s="250">
        <v>974</v>
      </c>
    </row>
    <row r="1146" spans="1:12" ht="15" customHeight="1" x14ac:dyDescent="0.2">
      <c r="A1146" s="252">
        <v>710174000000280</v>
      </c>
      <c r="B1146" s="253" t="s">
        <v>3914</v>
      </c>
      <c r="C1146" s="250" t="s">
        <v>235</v>
      </c>
      <c r="D1146" s="250" t="s">
        <v>60</v>
      </c>
      <c r="K1146" s="250">
        <v>0.55000000000000004</v>
      </c>
      <c r="L1146" s="250">
        <v>1106</v>
      </c>
    </row>
    <row r="1147" spans="1:12" ht="15" customHeight="1" x14ac:dyDescent="0.2">
      <c r="A1147" s="252">
        <v>710038201016000</v>
      </c>
      <c r="B1147" s="253" t="s">
        <v>3915</v>
      </c>
      <c r="C1147" s="250" t="s">
        <v>235</v>
      </c>
      <c r="D1147" s="250" t="s">
        <v>539</v>
      </c>
      <c r="K1147" s="250">
        <v>0.55000000000000004</v>
      </c>
      <c r="L1147" s="250">
        <v>96.1</v>
      </c>
    </row>
    <row r="1148" spans="1:12" ht="15" customHeight="1" x14ac:dyDescent="0.2">
      <c r="A1148" s="252">
        <v>710038200702000</v>
      </c>
      <c r="B1148" s="253" t="s">
        <v>4150</v>
      </c>
      <c r="C1148" s="250" t="s">
        <v>235</v>
      </c>
      <c r="D1148" s="250" t="s">
        <v>539</v>
      </c>
      <c r="K1148" s="250">
        <v>0.55000000000000004</v>
      </c>
      <c r="L1148" s="250">
        <v>26.9</v>
      </c>
    </row>
    <row r="1149" spans="1:12" ht="15" customHeight="1" x14ac:dyDescent="0.2">
      <c r="A1149" s="252">
        <v>710038200906300</v>
      </c>
      <c r="B1149" s="253" t="s">
        <v>225</v>
      </c>
      <c r="C1149" s="250" t="s">
        <v>235</v>
      </c>
      <c r="D1149" s="250" t="s">
        <v>539</v>
      </c>
      <c r="K1149" s="250">
        <v>0.55000000000000004</v>
      </c>
      <c r="L1149" s="250">
        <v>48.1</v>
      </c>
    </row>
    <row r="1150" spans="1:12" ht="15" customHeight="1" x14ac:dyDescent="0.2">
      <c r="A1150" s="252">
        <v>710030100025322</v>
      </c>
      <c r="B1150" s="253" t="s">
        <v>540</v>
      </c>
      <c r="C1150" s="250" t="s">
        <v>235</v>
      </c>
      <c r="D1150" s="250" t="s">
        <v>539</v>
      </c>
      <c r="K1150" s="250">
        <v>0.55000000000000004</v>
      </c>
      <c r="L1150" s="250">
        <v>34.6</v>
      </c>
    </row>
    <row r="1151" spans="1:12" ht="15" customHeight="1" x14ac:dyDescent="0.2">
      <c r="A1151" s="252">
        <v>710030100080363</v>
      </c>
      <c r="B1151" s="253" t="s">
        <v>4151</v>
      </c>
      <c r="C1151" s="250" t="s">
        <v>235</v>
      </c>
      <c r="D1151" s="250" t="s">
        <v>539</v>
      </c>
      <c r="K1151" s="250">
        <v>0.55000000000000004</v>
      </c>
      <c r="L1151" s="250">
        <v>107</v>
      </c>
    </row>
    <row r="1152" spans="1:12" ht="15" customHeight="1" x14ac:dyDescent="0.2">
      <c r="A1152" s="252">
        <v>710038100000029</v>
      </c>
      <c r="B1152" s="253" t="s">
        <v>541</v>
      </c>
      <c r="C1152" s="250" t="s">
        <v>235</v>
      </c>
      <c r="D1152" s="250" t="s">
        <v>542</v>
      </c>
      <c r="K1152" s="250">
        <v>0.55000000000000004</v>
      </c>
      <c r="L1152" s="250">
        <v>49.9</v>
      </c>
    </row>
    <row r="1153" spans="1:12" ht="15" customHeight="1" x14ac:dyDescent="0.2">
      <c r="A1153" s="252">
        <v>710038610044220</v>
      </c>
      <c r="B1153" s="253" t="s">
        <v>543</v>
      </c>
      <c r="C1153" s="250" t="s">
        <v>235</v>
      </c>
      <c r="D1153" s="250" t="s">
        <v>542</v>
      </c>
      <c r="K1153" s="250">
        <v>0.55000000000000004</v>
      </c>
      <c r="L1153" s="250">
        <v>56.8</v>
      </c>
    </row>
    <row r="1154" spans="1:12" ht="15" customHeight="1" x14ac:dyDescent="0.2">
      <c r="A1154" s="252">
        <v>710037221410380</v>
      </c>
      <c r="B1154" s="253" t="s">
        <v>544</v>
      </c>
      <c r="C1154" s="250" t="s">
        <v>235</v>
      </c>
      <c r="D1154" s="250" t="s">
        <v>542</v>
      </c>
      <c r="K1154" s="250">
        <v>0.55000000000000004</v>
      </c>
      <c r="L1154" s="250">
        <v>25</v>
      </c>
    </row>
    <row r="1155" spans="1:12" ht="15" customHeight="1" x14ac:dyDescent="0.2">
      <c r="A1155" s="252">
        <v>710089150002015</v>
      </c>
      <c r="B1155" s="253" t="s">
        <v>545</v>
      </c>
      <c r="C1155" s="250" t="s">
        <v>235</v>
      </c>
      <c r="D1155" s="250" t="s">
        <v>546</v>
      </c>
      <c r="K1155" s="250">
        <v>0.55000000000000004</v>
      </c>
      <c r="L1155" s="250">
        <v>85.6</v>
      </c>
    </row>
    <row r="1156" spans="1:12" ht="15" customHeight="1" x14ac:dyDescent="0.2">
      <c r="A1156" s="252">
        <v>710038400000302</v>
      </c>
      <c r="B1156" s="253" t="s">
        <v>547</v>
      </c>
      <c r="C1156" s="250" t="s">
        <v>235</v>
      </c>
      <c r="D1156" s="250" t="s">
        <v>539</v>
      </c>
      <c r="K1156" s="250">
        <v>0.55000000000000004</v>
      </c>
      <c r="L1156" s="250">
        <v>59.6</v>
      </c>
    </row>
    <row r="1157" spans="1:12" ht="15" customHeight="1" x14ac:dyDescent="0.2">
      <c r="A1157" s="252">
        <v>710038400000071</v>
      </c>
      <c r="B1157" s="253" t="s">
        <v>548</v>
      </c>
      <c r="C1157" s="250" t="s">
        <v>235</v>
      </c>
      <c r="D1157" s="250" t="s">
        <v>539</v>
      </c>
      <c r="K1157" s="250">
        <v>0.55000000000000004</v>
      </c>
      <c r="L1157" s="250">
        <v>51.6</v>
      </c>
    </row>
    <row r="1158" spans="1:12" ht="15" customHeight="1" x14ac:dyDescent="0.2">
      <c r="A1158" s="252">
        <v>710038400000073</v>
      </c>
      <c r="B1158" s="253" t="s">
        <v>549</v>
      </c>
      <c r="C1158" s="250" t="s">
        <v>235</v>
      </c>
      <c r="D1158" s="250" t="s">
        <v>539</v>
      </c>
      <c r="K1158" s="250">
        <v>0.55000000000000004</v>
      </c>
      <c r="L1158" s="250">
        <v>83.2</v>
      </c>
    </row>
    <row r="1159" spans="1:12" ht="15" customHeight="1" x14ac:dyDescent="0.2">
      <c r="A1159" s="252">
        <v>710038400000088</v>
      </c>
      <c r="B1159" s="253" t="s">
        <v>550</v>
      </c>
      <c r="C1159" s="250" t="s">
        <v>235</v>
      </c>
      <c r="D1159" s="250" t="s">
        <v>539</v>
      </c>
      <c r="K1159" s="250">
        <v>0.55000000000000004</v>
      </c>
      <c r="L1159" s="250">
        <v>906</v>
      </c>
    </row>
    <row r="1160" spans="1:12" ht="15" customHeight="1" x14ac:dyDescent="0.2">
      <c r="A1160" s="252">
        <v>710038400000080</v>
      </c>
      <c r="B1160" s="253" t="s">
        <v>551</v>
      </c>
      <c r="C1160" s="250" t="s">
        <v>235</v>
      </c>
      <c r="D1160" s="250" t="s">
        <v>539</v>
      </c>
      <c r="K1160" s="250">
        <v>0.55000000000000004</v>
      </c>
      <c r="L1160" s="250">
        <v>140</v>
      </c>
    </row>
    <row r="1161" spans="1:12" ht="15" customHeight="1" x14ac:dyDescent="0.2">
      <c r="A1161" s="252">
        <v>710038400000118</v>
      </c>
      <c r="B1161" s="253" t="s">
        <v>552</v>
      </c>
      <c r="C1161" s="250" t="s">
        <v>235</v>
      </c>
      <c r="D1161" s="250" t="s">
        <v>539</v>
      </c>
      <c r="K1161" s="250">
        <v>0.55000000000000004</v>
      </c>
      <c r="L1161" s="250">
        <v>216</v>
      </c>
    </row>
    <row r="1162" spans="1:12" ht="15" customHeight="1" x14ac:dyDescent="0.2">
      <c r="A1162" s="252">
        <v>710038400000083</v>
      </c>
      <c r="B1162" s="253" t="s">
        <v>553</v>
      </c>
      <c r="C1162" s="250" t="s">
        <v>235</v>
      </c>
      <c r="D1162" s="250" t="s">
        <v>539</v>
      </c>
      <c r="K1162" s="250">
        <v>0.55000000000000004</v>
      </c>
      <c r="L1162" s="250">
        <v>793</v>
      </c>
    </row>
    <row r="1163" spans="1:12" ht="15" customHeight="1" x14ac:dyDescent="0.2">
      <c r="A1163" s="252">
        <v>710030210001450</v>
      </c>
      <c r="B1163" s="253" t="s">
        <v>554</v>
      </c>
      <c r="C1163" s="250" t="s">
        <v>235</v>
      </c>
      <c r="D1163" s="250" t="s">
        <v>539</v>
      </c>
      <c r="K1163" s="250">
        <v>0.55000000000000004</v>
      </c>
      <c r="L1163" s="250">
        <v>52.2</v>
      </c>
    </row>
    <row r="1164" spans="1:12" ht="15" customHeight="1" x14ac:dyDescent="0.2">
      <c r="A1164" s="252">
        <v>710030270018000</v>
      </c>
      <c r="B1164" s="253" t="s">
        <v>555</v>
      </c>
      <c r="C1164" s="250" t="s">
        <v>235</v>
      </c>
      <c r="D1164" s="250" t="s">
        <v>539</v>
      </c>
      <c r="K1164" s="250">
        <v>0.55000000000000004</v>
      </c>
      <c r="L1164" s="250">
        <v>201</v>
      </c>
    </row>
    <row r="1165" spans="1:12" ht="15" customHeight="1" x14ac:dyDescent="0.2">
      <c r="A1165" s="252">
        <v>710030220002500</v>
      </c>
      <c r="B1165" s="253" t="s">
        <v>556</v>
      </c>
      <c r="C1165" s="250" t="s">
        <v>235</v>
      </c>
      <c r="D1165" s="250" t="s">
        <v>539</v>
      </c>
      <c r="K1165" s="250">
        <v>0.55000000000000004</v>
      </c>
      <c r="L1165" s="250">
        <v>52.9</v>
      </c>
    </row>
    <row r="1166" spans="1:12" ht="15" customHeight="1" x14ac:dyDescent="0.2">
      <c r="A1166" s="252">
        <v>710030230003600</v>
      </c>
      <c r="B1166" s="253" t="s">
        <v>557</v>
      </c>
      <c r="C1166" s="250" t="s">
        <v>235</v>
      </c>
      <c r="D1166" s="250" t="s">
        <v>539</v>
      </c>
      <c r="K1166" s="250">
        <v>0.55000000000000004</v>
      </c>
      <c r="L1166" s="250">
        <v>69.8</v>
      </c>
    </row>
    <row r="1167" spans="1:12" ht="15" customHeight="1" x14ac:dyDescent="0.2">
      <c r="A1167" s="252">
        <v>710030240004500</v>
      </c>
      <c r="B1167" s="253" t="s">
        <v>558</v>
      </c>
      <c r="C1167" s="250" t="s">
        <v>235</v>
      </c>
      <c r="D1167" s="250" t="s">
        <v>539</v>
      </c>
      <c r="K1167" s="250">
        <v>0.55000000000000004</v>
      </c>
      <c r="L1167" s="250">
        <v>74.900000000000006</v>
      </c>
    </row>
    <row r="1168" spans="1:12" ht="15" customHeight="1" x14ac:dyDescent="0.2">
      <c r="A1168" s="252">
        <v>710030250006300</v>
      </c>
      <c r="B1168" s="253" t="s">
        <v>559</v>
      </c>
      <c r="C1168" s="250" t="s">
        <v>235</v>
      </c>
      <c r="D1168" s="250" t="s">
        <v>539</v>
      </c>
      <c r="K1168" s="250">
        <v>0.55000000000000004</v>
      </c>
      <c r="L1168" s="250">
        <v>76.599999999999994</v>
      </c>
    </row>
    <row r="1169" spans="1:12" ht="15" customHeight="1" x14ac:dyDescent="0.2">
      <c r="A1169" s="252">
        <v>710030260008000</v>
      </c>
      <c r="B1169" s="253" t="s">
        <v>560</v>
      </c>
      <c r="C1169" s="250" t="s">
        <v>235</v>
      </c>
      <c r="D1169" s="250" t="s">
        <v>539</v>
      </c>
      <c r="K1169" s="250">
        <v>0.55000000000000004</v>
      </c>
      <c r="L1169" s="250">
        <v>105</v>
      </c>
    </row>
    <row r="1170" spans="1:12" ht="15" customHeight="1" x14ac:dyDescent="0.2">
      <c r="A1170" s="252">
        <v>710331902511220</v>
      </c>
      <c r="B1170" s="253" t="s">
        <v>561</v>
      </c>
      <c r="C1170" s="250" t="s">
        <v>235</v>
      </c>
      <c r="D1170" s="250" t="s">
        <v>562</v>
      </c>
      <c r="K1170" s="250">
        <v>0.55000000000000004</v>
      </c>
      <c r="L1170" s="250">
        <v>113</v>
      </c>
    </row>
    <row r="1171" spans="1:12" ht="15" customHeight="1" x14ac:dyDescent="0.2">
      <c r="A1171" s="252">
        <v>710331903211220</v>
      </c>
      <c r="B1171" s="253" t="s">
        <v>563</v>
      </c>
      <c r="C1171" s="250" t="s">
        <v>235</v>
      </c>
      <c r="D1171" s="250" t="s">
        <v>562</v>
      </c>
      <c r="K1171" s="250">
        <v>0.55000000000000004</v>
      </c>
      <c r="L1171" s="250">
        <v>123</v>
      </c>
    </row>
    <row r="1172" spans="1:12" ht="15" customHeight="1" x14ac:dyDescent="0.2">
      <c r="A1172" s="252">
        <v>710331904311220</v>
      </c>
      <c r="B1172" s="253" t="s">
        <v>224</v>
      </c>
      <c r="C1172" s="250" t="s">
        <v>235</v>
      </c>
      <c r="D1172" s="250" t="s">
        <v>562</v>
      </c>
      <c r="K1172" s="250">
        <v>0.55000000000000004</v>
      </c>
      <c r="L1172" s="250">
        <v>165</v>
      </c>
    </row>
    <row r="1173" spans="1:12" ht="15" customHeight="1" x14ac:dyDescent="0.2">
      <c r="A1173" s="252">
        <v>710331906321220</v>
      </c>
      <c r="B1173" s="253" t="s">
        <v>564</v>
      </c>
      <c r="C1173" s="250" t="s">
        <v>235</v>
      </c>
      <c r="D1173" s="250" t="s">
        <v>562</v>
      </c>
      <c r="K1173" s="250">
        <v>0.55000000000000004</v>
      </c>
      <c r="L1173" s="250">
        <v>353</v>
      </c>
    </row>
    <row r="1174" spans="1:12" ht="15" customHeight="1" x14ac:dyDescent="0.2">
      <c r="A1174" s="252">
        <v>710331909521220</v>
      </c>
      <c r="B1174" s="253" t="s">
        <v>565</v>
      </c>
      <c r="C1174" s="250" t="s">
        <v>235</v>
      </c>
      <c r="D1174" s="250" t="s">
        <v>562</v>
      </c>
      <c r="K1174" s="250">
        <v>0.55000000000000004</v>
      </c>
      <c r="L1174" s="250">
        <v>529</v>
      </c>
    </row>
    <row r="1175" spans="1:12" ht="15" customHeight="1" x14ac:dyDescent="0.2">
      <c r="B1175" s="253" t="s">
        <v>4152</v>
      </c>
      <c r="C1175" s="250" t="s">
        <v>235</v>
      </c>
      <c r="D1175" s="250" t="s">
        <v>562</v>
      </c>
      <c r="K1175" s="250">
        <v>0.55000000000000004</v>
      </c>
      <c r="L1175" s="250">
        <v>1607</v>
      </c>
    </row>
    <row r="1176" spans="1:12" ht="15" customHeight="1" x14ac:dyDescent="0.2">
      <c r="B1176" s="253" t="s">
        <v>3916</v>
      </c>
      <c r="C1176" s="250" t="s">
        <v>235</v>
      </c>
      <c r="D1176" s="250" t="s">
        <v>562</v>
      </c>
      <c r="K1176" s="250">
        <v>0.55000000000000004</v>
      </c>
      <c r="L1176" s="250">
        <v>1678</v>
      </c>
    </row>
    <row r="1177" spans="1:12" ht="15" customHeight="1" x14ac:dyDescent="0.2">
      <c r="B1177" s="253" t="s">
        <v>4153</v>
      </c>
      <c r="C1177" s="250" t="s">
        <v>235</v>
      </c>
      <c r="D1177" s="250" t="s">
        <v>562</v>
      </c>
      <c r="K1177" s="250">
        <v>0.55000000000000004</v>
      </c>
      <c r="L1177" s="250">
        <v>1751</v>
      </c>
    </row>
    <row r="1178" spans="1:12" ht="15" customHeight="1" x14ac:dyDescent="0.2">
      <c r="A1178" s="252">
        <v>710010110110220</v>
      </c>
      <c r="B1178" s="253" t="s">
        <v>566</v>
      </c>
      <c r="C1178" s="250" t="s">
        <v>235</v>
      </c>
      <c r="D1178" s="250" t="s">
        <v>562</v>
      </c>
      <c r="K1178" s="250">
        <v>0.55000000000000004</v>
      </c>
      <c r="L1178" s="250">
        <v>716</v>
      </c>
    </row>
    <row r="1179" spans="1:12" ht="15" customHeight="1" x14ac:dyDescent="0.2">
      <c r="A1179" s="252">
        <v>710010110012220</v>
      </c>
      <c r="B1179" s="253" t="s">
        <v>567</v>
      </c>
      <c r="C1179" s="250" t="s">
        <v>235</v>
      </c>
      <c r="D1179" s="250" t="s">
        <v>562</v>
      </c>
      <c r="K1179" s="250">
        <v>0.55000000000000004</v>
      </c>
      <c r="L1179" s="250">
        <v>63</v>
      </c>
    </row>
    <row r="1180" spans="1:12" ht="15" customHeight="1" x14ac:dyDescent="0.2">
      <c r="A1180" s="252">
        <v>710010110140220</v>
      </c>
      <c r="B1180" s="253" t="s">
        <v>568</v>
      </c>
      <c r="C1180" s="250" t="s">
        <v>235</v>
      </c>
      <c r="D1180" s="250" t="s">
        <v>562</v>
      </c>
      <c r="K1180" s="250">
        <v>0.55000000000000004</v>
      </c>
      <c r="L1180" s="250">
        <v>772</v>
      </c>
    </row>
    <row r="1181" spans="1:12" ht="15" customHeight="1" x14ac:dyDescent="0.2">
      <c r="A1181" s="252">
        <v>710010110016220</v>
      </c>
      <c r="B1181" s="253" t="s">
        <v>569</v>
      </c>
      <c r="C1181" s="250" t="s">
        <v>235</v>
      </c>
      <c r="D1181" s="250" t="s">
        <v>562</v>
      </c>
      <c r="K1181" s="250">
        <v>0.55000000000000004</v>
      </c>
      <c r="L1181" s="250">
        <v>84.7</v>
      </c>
    </row>
    <row r="1182" spans="1:12" ht="15" customHeight="1" x14ac:dyDescent="0.2">
      <c r="A1182" s="252">
        <v>710010110170220</v>
      </c>
      <c r="B1182" s="253" t="s">
        <v>570</v>
      </c>
      <c r="C1182" s="250" t="s">
        <v>235</v>
      </c>
      <c r="D1182" s="250" t="s">
        <v>562</v>
      </c>
      <c r="K1182" s="250">
        <v>0.55000000000000004</v>
      </c>
      <c r="L1182" s="250">
        <v>1060</v>
      </c>
    </row>
    <row r="1183" spans="1:12" ht="15" customHeight="1" x14ac:dyDescent="0.2">
      <c r="A1183" s="252">
        <v>710010110205220</v>
      </c>
      <c r="B1183" s="253" t="s">
        <v>571</v>
      </c>
      <c r="C1183" s="250" t="s">
        <v>235</v>
      </c>
      <c r="D1183" s="250" t="s">
        <v>562</v>
      </c>
      <c r="K1183" s="250">
        <v>0.55000000000000004</v>
      </c>
      <c r="L1183" s="250">
        <v>1273</v>
      </c>
    </row>
    <row r="1184" spans="1:12" ht="15" customHeight="1" x14ac:dyDescent="0.2">
      <c r="A1184" s="252">
        <v>710010110022220</v>
      </c>
      <c r="B1184" s="253" t="s">
        <v>572</v>
      </c>
      <c r="C1184" s="250" t="s">
        <v>235</v>
      </c>
      <c r="D1184" s="250" t="s">
        <v>562</v>
      </c>
      <c r="K1184" s="250">
        <v>0.55000000000000004</v>
      </c>
      <c r="L1184" s="250">
        <v>90.3</v>
      </c>
    </row>
    <row r="1185" spans="1:12" ht="15" customHeight="1" x14ac:dyDescent="0.2">
      <c r="A1185" s="252">
        <v>710010110250220</v>
      </c>
      <c r="B1185" s="253" t="s">
        <v>573</v>
      </c>
      <c r="C1185" s="250" t="s">
        <v>235</v>
      </c>
      <c r="D1185" s="250" t="s">
        <v>562</v>
      </c>
      <c r="K1185" s="250">
        <v>0.55000000000000004</v>
      </c>
      <c r="L1185" s="250">
        <v>1995</v>
      </c>
    </row>
    <row r="1186" spans="1:12" ht="15" customHeight="1" x14ac:dyDescent="0.2">
      <c r="A1186" s="252">
        <v>710010110300220</v>
      </c>
      <c r="B1186" s="253" t="s">
        <v>574</v>
      </c>
      <c r="C1186" s="250" t="s">
        <v>235</v>
      </c>
      <c r="D1186" s="250" t="s">
        <v>562</v>
      </c>
      <c r="K1186" s="250">
        <v>0.55000000000000004</v>
      </c>
      <c r="L1186" s="250">
        <v>2168</v>
      </c>
    </row>
    <row r="1187" spans="1:12" ht="15" customHeight="1" x14ac:dyDescent="0.2">
      <c r="A1187" s="252">
        <v>710010110032220</v>
      </c>
      <c r="B1187" s="253" t="s">
        <v>575</v>
      </c>
      <c r="C1187" s="250" t="s">
        <v>235</v>
      </c>
      <c r="D1187" s="250" t="s">
        <v>562</v>
      </c>
      <c r="K1187" s="250">
        <v>0.55000000000000004</v>
      </c>
      <c r="L1187" s="250">
        <v>121</v>
      </c>
    </row>
    <row r="1188" spans="1:12" ht="15" customHeight="1" x14ac:dyDescent="0.2">
      <c r="A1188" s="252">
        <v>710010110400220</v>
      </c>
      <c r="B1188" s="253" t="s">
        <v>576</v>
      </c>
      <c r="C1188" s="250" t="s">
        <v>235</v>
      </c>
      <c r="D1188" s="250" t="s">
        <v>562</v>
      </c>
      <c r="K1188" s="250">
        <v>0.55000000000000004</v>
      </c>
      <c r="L1188" s="250">
        <v>3375</v>
      </c>
    </row>
    <row r="1189" spans="1:12" ht="15" customHeight="1" x14ac:dyDescent="0.2">
      <c r="A1189" s="252">
        <v>710010110045220</v>
      </c>
      <c r="B1189" s="253" t="s">
        <v>577</v>
      </c>
      <c r="C1189" s="250" t="s">
        <v>235</v>
      </c>
      <c r="D1189" s="250" t="s">
        <v>562</v>
      </c>
      <c r="K1189" s="250">
        <v>0.55000000000000004</v>
      </c>
      <c r="L1189" s="250">
        <v>238</v>
      </c>
    </row>
    <row r="1190" spans="1:12" ht="15" customHeight="1" x14ac:dyDescent="0.2">
      <c r="A1190" s="252">
        <v>710010110475220</v>
      </c>
      <c r="B1190" s="253" t="s">
        <v>578</v>
      </c>
      <c r="C1190" s="250" t="s">
        <v>235</v>
      </c>
      <c r="D1190" s="250" t="s">
        <v>562</v>
      </c>
      <c r="K1190" s="250">
        <v>0.55000000000000004</v>
      </c>
      <c r="L1190" s="250">
        <v>3860</v>
      </c>
    </row>
    <row r="1191" spans="1:12" ht="15" customHeight="1" x14ac:dyDescent="0.2">
      <c r="A1191" s="252">
        <v>710010110063220</v>
      </c>
      <c r="B1191" s="253" t="s">
        <v>579</v>
      </c>
      <c r="C1191" s="250" t="s">
        <v>235</v>
      </c>
      <c r="D1191" s="250" t="s">
        <v>562</v>
      </c>
      <c r="K1191" s="250">
        <v>0.55000000000000004</v>
      </c>
      <c r="L1191" s="250">
        <v>268</v>
      </c>
    </row>
    <row r="1192" spans="1:12" ht="15" customHeight="1" x14ac:dyDescent="0.2">
      <c r="A1192" s="252">
        <v>710010110075220</v>
      </c>
      <c r="B1192" s="253" t="s">
        <v>580</v>
      </c>
      <c r="C1192" s="250" t="s">
        <v>235</v>
      </c>
      <c r="D1192" s="250" t="s">
        <v>562</v>
      </c>
      <c r="K1192" s="250">
        <v>0.55000000000000004</v>
      </c>
      <c r="L1192" s="250">
        <v>459</v>
      </c>
    </row>
    <row r="1193" spans="1:12" ht="15" customHeight="1" x14ac:dyDescent="0.2">
      <c r="A1193" s="252">
        <v>710010110085220</v>
      </c>
      <c r="B1193" s="253" t="s">
        <v>581</v>
      </c>
      <c r="C1193" s="250" t="s">
        <v>235</v>
      </c>
      <c r="D1193" s="250" t="s">
        <v>562</v>
      </c>
      <c r="K1193" s="250">
        <v>0.55000000000000004</v>
      </c>
      <c r="L1193" s="250">
        <v>520</v>
      </c>
    </row>
    <row r="1194" spans="1:12" ht="15" customHeight="1" x14ac:dyDescent="0.2">
      <c r="A1194" s="252">
        <v>710010110009220</v>
      </c>
      <c r="B1194" s="253" t="s">
        <v>582</v>
      </c>
      <c r="C1194" s="250" t="s">
        <v>235</v>
      </c>
      <c r="D1194" s="250" t="s">
        <v>562</v>
      </c>
      <c r="K1194" s="250">
        <v>0.55000000000000004</v>
      </c>
      <c r="L1194" s="250">
        <v>62</v>
      </c>
    </row>
    <row r="1195" spans="1:12" ht="15" customHeight="1" x14ac:dyDescent="0.2">
      <c r="A1195" s="252">
        <v>710010200093220</v>
      </c>
      <c r="B1195" s="253" t="s">
        <v>583</v>
      </c>
      <c r="C1195" s="250" t="s">
        <v>235</v>
      </c>
      <c r="D1195" s="250" t="s">
        <v>562</v>
      </c>
      <c r="K1195" s="250">
        <v>0.55000000000000004</v>
      </c>
      <c r="L1195" s="250">
        <v>49.7</v>
      </c>
    </row>
    <row r="1196" spans="1:12" ht="15" customHeight="1" x14ac:dyDescent="0.2">
      <c r="A1196" s="252">
        <v>710010200123220</v>
      </c>
      <c r="B1196" s="253" t="s">
        <v>584</v>
      </c>
      <c r="C1196" s="250" t="s">
        <v>235</v>
      </c>
      <c r="D1196" s="250" t="s">
        <v>562</v>
      </c>
      <c r="K1196" s="250">
        <v>0.55000000000000004</v>
      </c>
      <c r="L1196" s="250">
        <v>51.4</v>
      </c>
    </row>
    <row r="1197" spans="1:12" ht="15" customHeight="1" x14ac:dyDescent="0.2">
      <c r="A1197" s="252">
        <v>710010200183220</v>
      </c>
      <c r="B1197" s="253" t="s">
        <v>585</v>
      </c>
      <c r="C1197" s="250" t="s">
        <v>235</v>
      </c>
      <c r="D1197" s="250" t="s">
        <v>562</v>
      </c>
      <c r="K1197" s="250">
        <v>0.55000000000000004</v>
      </c>
      <c r="L1197" s="250">
        <v>66.5</v>
      </c>
    </row>
    <row r="1198" spans="1:12" ht="15" customHeight="1" x14ac:dyDescent="0.2">
      <c r="A1198" s="252">
        <v>710010200253220</v>
      </c>
      <c r="B1198" s="253" t="s">
        <v>586</v>
      </c>
      <c r="C1198" s="250" t="s">
        <v>235</v>
      </c>
      <c r="D1198" s="250" t="s">
        <v>562</v>
      </c>
      <c r="K1198" s="250">
        <v>0.55000000000000004</v>
      </c>
      <c r="L1198" s="250">
        <v>79.8</v>
      </c>
    </row>
    <row r="1199" spans="1:12" ht="15" customHeight="1" x14ac:dyDescent="0.2">
      <c r="A1199" s="252">
        <v>710010200323220</v>
      </c>
      <c r="B1199" s="253" t="s">
        <v>587</v>
      </c>
      <c r="C1199" s="250" t="s">
        <v>235</v>
      </c>
      <c r="D1199" s="250" t="s">
        <v>562</v>
      </c>
      <c r="K1199" s="250">
        <v>0.55000000000000004</v>
      </c>
      <c r="L1199" s="250">
        <v>131</v>
      </c>
    </row>
    <row r="1200" spans="1:12" ht="15" customHeight="1" x14ac:dyDescent="0.2">
      <c r="A1200" s="252">
        <v>710010200403220</v>
      </c>
      <c r="B1200" s="253" t="s">
        <v>588</v>
      </c>
      <c r="C1200" s="250" t="s">
        <v>235</v>
      </c>
      <c r="D1200" s="250" t="s">
        <v>562</v>
      </c>
      <c r="K1200" s="250">
        <v>0.55000000000000004</v>
      </c>
      <c r="L1200" s="250">
        <v>213</v>
      </c>
    </row>
    <row r="1201" spans="1:12" ht="15" customHeight="1" x14ac:dyDescent="0.2">
      <c r="A1201" s="252">
        <v>710010200503220</v>
      </c>
      <c r="B1201" s="253" t="s">
        <v>589</v>
      </c>
      <c r="C1201" s="250" t="s">
        <v>235</v>
      </c>
      <c r="D1201" s="250" t="s">
        <v>562</v>
      </c>
      <c r="K1201" s="250">
        <v>0.55000000000000004</v>
      </c>
      <c r="L1201" s="250">
        <v>225</v>
      </c>
    </row>
    <row r="1202" spans="1:12" ht="15" customHeight="1" x14ac:dyDescent="0.2">
      <c r="A1202" s="252">
        <v>710010200633220</v>
      </c>
      <c r="B1202" s="253" t="s">
        <v>590</v>
      </c>
      <c r="C1202" s="250" t="s">
        <v>235</v>
      </c>
      <c r="D1202" s="250" t="s">
        <v>562</v>
      </c>
      <c r="K1202" s="250">
        <v>0.55000000000000004</v>
      </c>
      <c r="L1202" s="250">
        <v>328</v>
      </c>
    </row>
    <row r="1203" spans="1:12" ht="15" customHeight="1" x14ac:dyDescent="0.2">
      <c r="A1203" s="252">
        <v>710010200803220</v>
      </c>
      <c r="B1203" s="253" t="s">
        <v>591</v>
      </c>
      <c r="C1203" s="250" t="s">
        <v>235</v>
      </c>
      <c r="D1203" s="250" t="s">
        <v>562</v>
      </c>
      <c r="K1203" s="250">
        <v>0.55000000000000004</v>
      </c>
      <c r="L1203" s="250">
        <v>460</v>
      </c>
    </row>
    <row r="1204" spans="1:12" ht="15" customHeight="1" x14ac:dyDescent="0.2">
      <c r="A1204" s="252">
        <v>710010200953220</v>
      </c>
      <c r="B1204" s="253" t="s">
        <v>592</v>
      </c>
      <c r="C1204" s="250" t="s">
        <v>235</v>
      </c>
      <c r="D1204" s="250" t="s">
        <v>562</v>
      </c>
      <c r="K1204" s="250">
        <v>0.55000000000000004</v>
      </c>
      <c r="L1204" s="250">
        <v>466</v>
      </c>
    </row>
    <row r="1205" spans="1:12" ht="15" customHeight="1" x14ac:dyDescent="0.2">
      <c r="B1205" s="250" t="s">
        <v>4154</v>
      </c>
      <c r="C1205" s="250" t="s">
        <v>235</v>
      </c>
      <c r="D1205" s="250" t="s">
        <v>1777</v>
      </c>
      <c r="K1205" s="250">
        <v>0.55000000000000004</v>
      </c>
      <c r="L1205" s="250">
        <v>46</v>
      </c>
    </row>
    <row r="1206" spans="1:12" ht="15" customHeight="1" x14ac:dyDescent="0.2">
      <c r="B1206" s="250" t="s">
        <v>2050</v>
      </c>
      <c r="C1206" s="250" t="s">
        <v>235</v>
      </c>
      <c r="D1206" s="250" t="s">
        <v>1777</v>
      </c>
      <c r="K1206" s="250">
        <v>0.55000000000000004</v>
      </c>
      <c r="L1206" s="250">
        <v>47</v>
      </c>
    </row>
    <row r="1207" spans="1:12" ht="15" customHeight="1" x14ac:dyDescent="0.2">
      <c r="B1207" s="250" t="s">
        <v>2051</v>
      </c>
      <c r="C1207" s="250" t="s">
        <v>235</v>
      </c>
      <c r="D1207" s="250" t="s">
        <v>1777</v>
      </c>
      <c r="K1207" s="250">
        <v>0.55000000000000004</v>
      </c>
      <c r="L1207" s="250">
        <v>48.5</v>
      </c>
    </row>
    <row r="1208" spans="1:12" ht="15" customHeight="1" x14ac:dyDescent="0.2">
      <c r="B1208" s="250" t="s">
        <v>3917</v>
      </c>
      <c r="C1208" s="250" t="s">
        <v>235</v>
      </c>
      <c r="D1208" s="250" t="s">
        <v>1777</v>
      </c>
      <c r="K1208" s="250">
        <v>0.55000000000000004</v>
      </c>
      <c r="L1208" s="250">
        <v>51.9</v>
      </c>
    </row>
    <row r="1209" spans="1:12" ht="15" customHeight="1" x14ac:dyDescent="0.2">
      <c r="B1209" s="250" t="s">
        <v>2052</v>
      </c>
      <c r="C1209" s="250" t="s">
        <v>235</v>
      </c>
      <c r="D1209" s="250" t="s">
        <v>1777</v>
      </c>
      <c r="K1209" s="250">
        <v>0.55000000000000004</v>
      </c>
      <c r="L1209" s="250">
        <v>62.9</v>
      </c>
    </row>
    <row r="1210" spans="1:12" ht="15" customHeight="1" x14ac:dyDescent="0.2">
      <c r="B1210" s="250" t="s">
        <v>3918</v>
      </c>
      <c r="C1210" s="250" t="s">
        <v>235</v>
      </c>
      <c r="D1210" s="250" t="s">
        <v>1777</v>
      </c>
      <c r="K1210" s="250">
        <v>0.55000000000000004</v>
      </c>
      <c r="L1210" s="250">
        <v>66.2</v>
      </c>
    </row>
    <row r="1211" spans="1:12" ht="15" customHeight="1" x14ac:dyDescent="0.2">
      <c r="B1211" s="250" t="s">
        <v>2053</v>
      </c>
      <c r="C1211" s="250" t="s">
        <v>235</v>
      </c>
      <c r="D1211" s="250" t="s">
        <v>1777</v>
      </c>
      <c r="K1211" s="250">
        <v>0.55000000000000004</v>
      </c>
      <c r="L1211" s="250">
        <v>75.5</v>
      </c>
    </row>
    <row r="1212" spans="1:12" ht="15" customHeight="1" x14ac:dyDescent="0.2">
      <c r="B1212" s="250" t="s">
        <v>2054</v>
      </c>
      <c r="C1212" s="250" t="s">
        <v>235</v>
      </c>
      <c r="D1212" s="250" t="s">
        <v>1777</v>
      </c>
      <c r="K1212" s="250">
        <v>0.55000000000000004</v>
      </c>
      <c r="L1212" s="250">
        <v>112</v>
      </c>
    </row>
    <row r="1213" spans="1:12" ht="15" customHeight="1" x14ac:dyDescent="0.2">
      <c r="B1213" s="250" t="s">
        <v>4155</v>
      </c>
      <c r="C1213" s="250" t="s">
        <v>235</v>
      </c>
      <c r="D1213" s="250" t="s">
        <v>1777</v>
      </c>
      <c r="K1213" s="250">
        <v>0.55000000000000004</v>
      </c>
      <c r="L1213" s="250">
        <v>142</v>
      </c>
    </row>
    <row r="1214" spans="1:12" ht="15" customHeight="1" x14ac:dyDescent="0.2">
      <c r="B1214" s="250" t="s">
        <v>2055</v>
      </c>
      <c r="C1214" s="250" t="s">
        <v>235</v>
      </c>
      <c r="D1214" s="250" t="s">
        <v>1777</v>
      </c>
      <c r="K1214" s="250">
        <v>0.55000000000000004</v>
      </c>
      <c r="L1214" s="250">
        <v>199</v>
      </c>
    </row>
    <row r="1215" spans="1:12" ht="15" customHeight="1" x14ac:dyDescent="0.2">
      <c r="B1215" s="250" t="s">
        <v>2056</v>
      </c>
      <c r="C1215" s="250" t="s">
        <v>235</v>
      </c>
      <c r="D1215" s="250" t="s">
        <v>1777</v>
      </c>
      <c r="K1215" s="250">
        <v>0.55000000000000004</v>
      </c>
      <c r="L1215" s="250">
        <v>213</v>
      </c>
    </row>
    <row r="1216" spans="1:12" ht="15" customHeight="1" x14ac:dyDescent="0.2">
      <c r="B1216" s="250" t="s">
        <v>4156</v>
      </c>
      <c r="C1216" s="250" t="s">
        <v>235</v>
      </c>
      <c r="D1216" s="250" t="s">
        <v>1777</v>
      </c>
      <c r="K1216" s="250">
        <v>0.55000000000000004</v>
      </c>
      <c r="L1216" s="250">
        <v>311</v>
      </c>
    </row>
    <row r="1217" spans="2:12" ht="15" customHeight="1" x14ac:dyDescent="0.2">
      <c r="B1217" s="250" t="s">
        <v>4157</v>
      </c>
      <c r="C1217" s="250" t="s">
        <v>235</v>
      </c>
      <c r="D1217" s="250" t="s">
        <v>1777</v>
      </c>
      <c r="K1217" s="250">
        <v>0.55000000000000004</v>
      </c>
      <c r="L1217" s="250">
        <v>409</v>
      </c>
    </row>
    <row r="1218" spans="2:12" ht="15" customHeight="1" x14ac:dyDescent="0.2">
      <c r="B1218" s="250" t="s">
        <v>4158</v>
      </c>
      <c r="C1218" s="250" t="s">
        <v>235</v>
      </c>
      <c r="D1218" s="250" t="s">
        <v>1777</v>
      </c>
      <c r="K1218" s="250">
        <v>0.55000000000000004</v>
      </c>
      <c r="L1218" s="250">
        <v>425</v>
      </c>
    </row>
    <row r="1219" spans="2:12" ht="15" customHeight="1" x14ac:dyDescent="0.2">
      <c r="B1219" s="250" t="s">
        <v>4159</v>
      </c>
      <c r="C1219" s="250" t="s">
        <v>235</v>
      </c>
      <c r="D1219" s="250" t="s">
        <v>1777</v>
      </c>
      <c r="K1219" s="250">
        <v>0.55000000000000004</v>
      </c>
      <c r="L1219" s="250">
        <v>440</v>
      </c>
    </row>
    <row r="1220" spans="2:12" ht="15" customHeight="1" x14ac:dyDescent="0.2">
      <c r="B1220" s="250" t="s">
        <v>4160</v>
      </c>
      <c r="C1220" s="250" t="s">
        <v>235</v>
      </c>
      <c r="D1220" s="250" t="s">
        <v>1777</v>
      </c>
      <c r="K1220" s="250">
        <v>0.55000000000000004</v>
      </c>
      <c r="L1220" s="250">
        <v>842</v>
      </c>
    </row>
    <row r="1221" spans="2:12" ht="15" customHeight="1" x14ac:dyDescent="0.2">
      <c r="B1221" s="250" t="s">
        <v>3919</v>
      </c>
      <c r="C1221" s="250" t="s">
        <v>235</v>
      </c>
      <c r="D1221" s="250" t="s">
        <v>1777</v>
      </c>
      <c r="K1221" s="250">
        <v>0.55000000000000004</v>
      </c>
      <c r="L1221" s="250">
        <v>863</v>
      </c>
    </row>
    <row r="1222" spans="2:12" ht="15" customHeight="1" x14ac:dyDescent="0.2">
      <c r="B1222" s="250" t="s">
        <v>2057</v>
      </c>
      <c r="C1222" s="250" t="s">
        <v>235</v>
      </c>
      <c r="D1222" s="250" t="s">
        <v>1777</v>
      </c>
      <c r="K1222" s="250">
        <v>0.55000000000000004</v>
      </c>
      <c r="L1222" s="250">
        <v>1093</v>
      </c>
    </row>
    <row r="1223" spans="2:12" ht="15" customHeight="1" x14ac:dyDescent="0.2">
      <c r="B1223" s="250" t="s">
        <v>2058</v>
      </c>
      <c r="C1223" s="250" t="s">
        <v>235</v>
      </c>
      <c r="D1223" s="250" t="s">
        <v>1777</v>
      </c>
      <c r="K1223" s="250">
        <v>0.55000000000000004</v>
      </c>
      <c r="L1223" s="250">
        <v>1130</v>
      </c>
    </row>
    <row r="1224" spans="2:12" ht="15" customHeight="1" x14ac:dyDescent="0.2">
      <c r="B1224" s="250" t="s">
        <v>2059</v>
      </c>
      <c r="C1224" s="250" t="s">
        <v>235</v>
      </c>
      <c r="D1224" s="250" t="s">
        <v>1777</v>
      </c>
      <c r="K1224" s="250">
        <v>0.55000000000000004</v>
      </c>
      <c r="L1224" s="250">
        <v>1507</v>
      </c>
    </row>
    <row r="1225" spans="2:12" ht="15" customHeight="1" x14ac:dyDescent="0.2">
      <c r="B1225" s="250" t="s">
        <v>2060</v>
      </c>
      <c r="C1225" s="250" t="s">
        <v>235</v>
      </c>
      <c r="D1225" s="250" t="s">
        <v>1777</v>
      </c>
      <c r="K1225" s="250">
        <v>0.55000000000000004</v>
      </c>
      <c r="L1225" s="250">
        <v>2120</v>
      </c>
    </row>
    <row r="1226" spans="2:12" ht="15" customHeight="1" x14ac:dyDescent="0.2">
      <c r="B1226" s="250" t="s">
        <v>2061</v>
      </c>
      <c r="C1226" s="250" t="s">
        <v>235</v>
      </c>
      <c r="D1226" s="250" t="s">
        <v>1777</v>
      </c>
      <c r="K1226" s="250">
        <v>0.55000000000000004</v>
      </c>
      <c r="L1226" s="250">
        <v>2253</v>
      </c>
    </row>
    <row r="1227" spans="2:12" ht="15" customHeight="1" x14ac:dyDescent="0.2">
      <c r="B1227" s="250" t="s">
        <v>2062</v>
      </c>
      <c r="C1227" s="250" t="s">
        <v>235</v>
      </c>
      <c r="D1227" s="250" t="s">
        <v>1777</v>
      </c>
      <c r="K1227" s="250">
        <v>0.55000000000000004</v>
      </c>
      <c r="L1227" s="250">
        <v>3167</v>
      </c>
    </row>
    <row r="1228" spans="2:12" ht="15" customHeight="1" x14ac:dyDescent="0.2">
      <c r="B1228" s="250" t="s">
        <v>2063</v>
      </c>
      <c r="C1228" s="250" t="s">
        <v>235</v>
      </c>
      <c r="D1228" s="250" t="s">
        <v>1777</v>
      </c>
      <c r="K1228" s="250">
        <v>0.55000000000000004</v>
      </c>
      <c r="L1228" s="250">
        <v>4561</v>
      </c>
    </row>
    <row r="1229" spans="2:12" ht="15" customHeight="1" x14ac:dyDescent="0.2">
      <c r="B1229" s="250" t="s">
        <v>3920</v>
      </c>
      <c r="C1229" s="250" t="s">
        <v>235</v>
      </c>
      <c r="D1229" s="250" t="s">
        <v>4161</v>
      </c>
      <c r="K1229" s="250">
        <v>0.55000000000000004</v>
      </c>
      <c r="L1229" s="250">
        <v>55.9</v>
      </c>
    </row>
    <row r="1230" spans="2:12" ht="15" customHeight="1" x14ac:dyDescent="0.2">
      <c r="B1230" s="250" t="s">
        <v>4162</v>
      </c>
      <c r="C1230" s="250" t="s">
        <v>235</v>
      </c>
      <c r="D1230" s="250" t="s">
        <v>4161</v>
      </c>
      <c r="K1230" s="250">
        <v>0.55000000000000004</v>
      </c>
      <c r="L1230" s="250">
        <v>48.4</v>
      </c>
    </row>
    <row r="1231" spans="2:12" ht="15" customHeight="1" x14ac:dyDescent="0.2">
      <c r="B1231" s="250" t="s">
        <v>4163</v>
      </c>
      <c r="C1231" s="250" t="s">
        <v>235</v>
      </c>
      <c r="D1231" s="250" t="s">
        <v>4164</v>
      </c>
      <c r="K1231" s="250">
        <v>0.55000000000000004</v>
      </c>
      <c r="L1231" s="250">
        <v>78</v>
      </c>
    </row>
    <row r="1232" spans="2:12" ht="15" customHeight="1" x14ac:dyDescent="0.2">
      <c r="B1232" s="250" t="s">
        <v>4165</v>
      </c>
      <c r="C1232" s="250" t="s">
        <v>235</v>
      </c>
      <c r="D1232" s="250" t="s">
        <v>4166</v>
      </c>
      <c r="K1232" s="250">
        <v>0.55000000000000004</v>
      </c>
      <c r="L1232" s="250">
        <v>132</v>
      </c>
    </row>
    <row r="1233" spans="1:14" ht="15" customHeight="1" x14ac:dyDescent="0.2">
      <c r="B1233" s="250" t="s">
        <v>4167</v>
      </c>
      <c r="C1233" s="250" t="s">
        <v>235</v>
      </c>
      <c r="D1233" s="250" t="s">
        <v>4164</v>
      </c>
      <c r="K1233" s="250">
        <v>0.55000000000000004</v>
      </c>
      <c r="L1233" s="250">
        <v>679</v>
      </c>
    </row>
    <row r="1234" spans="1:14" ht="15" customHeight="1" x14ac:dyDescent="0.2">
      <c r="B1234" s="250" t="s">
        <v>3921</v>
      </c>
      <c r="C1234" s="250" t="s">
        <v>235</v>
      </c>
      <c r="D1234" s="250" t="s">
        <v>4161</v>
      </c>
      <c r="K1234" s="250">
        <v>0.55000000000000004</v>
      </c>
      <c r="L1234" s="250">
        <v>852</v>
      </c>
    </row>
    <row r="1235" spans="1:14" ht="15" customHeight="1" x14ac:dyDescent="0.2">
      <c r="A1235" s="252">
        <v>710016900000020</v>
      </c>
      <c r="B1235" s="253" t="s">
        <v>593</v>
      </c>
      <c r="C1235" s="250" t="s">
        <v>235</v>
      </c>
      <c r="D1235" s="250" t="s">
        <v>562</v>
      </c>
      <c r="K1235" s="250">
        <v>0.55000000000000004</v>
      </c>
      <c r="L1235" s="250">
        <v>35.799999999999997</v>
      </c>
      <c r="N1235" s="250">
        <v>1</v>
      </c>
    </row>
    <row r="1236" spans="1:14" ht="15" customHeight="1" x14ac:dyDescent="0.2">
      <c r="A1236" s="252">
        <v>710023800000010</v>
      </c>
      <c r="B1236" s="253" t="s">
        <v>594</v>
      </c>
      <c r="C1236" s="250" t="s">
        <v>235</v>
      </c>
      <c r="D1236" s="250" t="s">
        <v>66</v>
      </c>
      <c r="K1236" s="250">
        <v>0.55000000000000004</v>
      </c>
      <c r="L1236" s="250">
        <v>63.9</v>
      </c>
      <c r="N1236" s="250">
        <v>1</v>
      </c>
    </row>
    <row r="1237" spans="1:14" ht="15" customHeight="1" x14ac:dyDescent="0.2">
      <c r="A1237" s="252">
        <v>710023800000016</v>
      </c>
      <c r="B1237" s="253" t="s">
        <v>595</v>
      </c>
      <c r="C1237" s="250" t="s">
        <v>235</v>
      </c>
      <c r="D1237" s="250" t="s">
        <v>66</v>
      </c>
      <c r="K1237" s="250">
        <v>0.55000000000000004</v>
      </c>
      <c r="L1237" s="250">
        <v>108</v>
      </c>
      <c r="N1237" s="250">
        <v>1</v>
      </c>
    </row>
    <row r="1238" spans="1:14" ht="15" customHeight="1" x14ac:dyDescent="0.2">
      <c r="A1238" s="252">
        <v>710023800000022</v>
      </c>
      <c r="B1238" s="253" t="s">
        <v>596</v>
      </c>
      <c r="C1238" s="250" t="s">
        <v>235</v>
      </c>
      <c r="D1238" s="250" t="s">
        <v>66</v>
      </c>
      <c r="K1238" s="250">
        <v>0.55000000000000004</v>
      </c>
      <c r="L1238" s="250">
        <v>225.9</v>
      </c>
      <c r="N1238" s="250">
        <v>2</v>
      </c>
    </row>
    <row r="1239" spans="1:14" ht="15" customHeight="1" x14ac:dyDescent="0.2">
      <c r="A1239" s="252">
        <v>710023800000034</v>
      </c>
      <c r="B1239" s="253" t="s">
        <v>597</v>
      </c>
      <c r="C1239" s="250" t="s">
        <v>235</v>
      </c>
      <c r="D1239" s="250" t="s">
        <v>66</v>
      </c>
      <c r="K1239" s="250">
        <v>0.55000000000000004</v>
      </c>
      <c r="L1239" s="250">
        <v>127.8</v>
      </c>
      <c r="N1239" s="250">
        <v>2</v>
      </c>
    </row>
    <row r="1240" spans="1:14" ht="15" customHeight="1" x14ac:dyDescent="0.2">
      <c r="A1240" s="252">
        <v>710023800000040</v>
      </c>
      <c r="B1240" s="253" t="s">
        <v>598</v>
      </c>
      <c r="C1240" s="250" t="s">
        <v>235</v>
      </c>
      <c r="D1240" s="250" t="s">
        <v>66</v>
      </c>
      <c r="K1240" s="250">
        <v>0.55000000000000004</v>
      </c>
      <c r="L1240" s="250">
        <v>216</v>
      </c>
      <c r="N1240" s="250">
        <v>2</v>
      </c>
    </row>
    <row r="1241" spans="1:14" ht="15" customHeight="1" x14ac:dyDescent="0.2">
      <c r="A1241" s="252">
        <v>710023800000046</v>
      </c>
      <c r="B1241" s="253" t="s">
        <v>599</v>
      </c>
      <c r="C1241" s="250" t="s">
        <v>235</v>
      </c>
      <c r="D1241" s="250" t="s">
        <v>66</v>
      </c>
      <c r="K1241" s="250">
        <v>0.55000000000000004</v>
      </c>
      <c r="L1241" s="250">
        <v>451.8</v>
      </c>
      <c r="N1241" s="250">
        <v>4</v>
      </c>
    </row>
    <row r="1242" spans="1:14" ht="15" customHeight="1" x14ac:dyDescent="0.2">
      <c r="A1242" s="252">
        <v>710023800000058</v>
      </c>
      <c r="B1242" s="253" t="s">
        <v>600</v>
      </c>
      <c r="C1242" s="250" t="s">
        <v>235</v>
      </c>
      <c r="D1242" s="250" t="s">
        <v>66</v>
      </c>
      <c r="K1242" s="250">
        <v>0.55000000000000004</v>
      </c>
      <c r="L1242" s="250">
        <v>191.7</v>
      </c>
      <c r="N1242" s="250">
        <v>3</v>
      </c>
    </row>
    <row r="1243" spans="1:14" ht="15" customHeight="1" x14ac:dyDescent="0.2">
      <c r="A1243" s="252">
        <v>710023800000064</v>
      </c>
      <c r="B1243" s="253" t="s">
        <v>601</v>
      </c>
      <c r="C1243" s="250" t="s">
        <v>235</v>
      </c>
      <c r="D1243" s="250" t="s">
        <v>66</v>
      </c>
      <c r="K1243" s="250">
        <v>0.55000000000000004</v>
      </c>
      <c r="L1243" s="250">
        <v>324</v>
      </c>
      <c r="N1243" s="250">
        <v>3</v>
      </c>
    </row>
    <row r="1244" spans="1:14" ht="15" customHeight="1" x14ac:dyDescent="0.2">
      <c r="A1244" s="252">
        <v>710023800000070</v>
      </c>
      <c r="B1244" s="253" t="s">
        <v>602</v>
      </c>
      <c r="C1244" s="250" t="s">
        <v>235</v>
      </c>
      <c r="D1244" s="250" t="s">
        <v>66</v>
      </c>
      <c r="K1244" s="250">
        <v>0.55000000000000004</v>
      </c>
      <c r="L1244" s="250">
        <v>678.6</v>
      </c>
      <c r="N1244" s="250">
        <v>6</v>
      </c>
    </row>
    <row r="1245" spans="1:14" ht="15" customHeight="1" x14ac:dyDescent="0.2">
      <c r="A1245" s="252">
        <v>710023800000082</v>
      </c>
      <c r="B1245" s="253" t="s">
        <v>603</v>
      </c>
      <c r="C1245" s="250" t="s">
        <v>235</v>
      </c>
      <c r="D1245" s="250" t="s">
        <v>66</v>
      </c>
      <c r="K1245" s="250">
        <v>0.55000000000000004</v>
      </c>
      <c r="L1245" s="250">
        <v>255.6</v>
      </c>
      <c r="N1245" s="250">
        <v>4</v>
      </c>
    </row>
    <row r="1246" spans="1:14" ht="15" customHeight="1" x14ac:dyDescent="0.2">
      <c r="A1246" s="252">
        <v>710023800000088</v>
      </c>
      <c r="B1246" s="253" t="s">
        <v>604</v>
      </c>
      <c r="C1246" s="250" t="s">
        <v>235</v>
      </c>
      <c r="D1246" s="250" t="s">
        <v>66</v>
      </c>
      <c r="K1246" s="250">
        <v>0.55000000000000004</v>
      </c>
      <c r="L1246" s="250">
        <v>432.9</v>
      </c>
      <c r="N1246" s="250">
        <v>4</v>
      </c>
    </row>
    <row r="1247" spans="1:14" ht="15" customHeight="1" x14ac:dyDescent="0.2">
      <c r="A1247" s="252">
        <v>710023800000094</v>
      </c>
      <c r="B1247" s="253" t="s">
        <v>605</v>
      </c>
      <c r="C1247" s="250" t="s">
        <v>235</v>
      </c>
      <c r="D1247" s="250" t="s">
        <v>66</v>
      </c>
      <c r="K1247" s="250">
        <v>0.55000000000000004</v>
      </c>
      <c r="L1247" s="250">
        <v>904.5</v>
      </c>
      <c r="N1247" s="250">
        <v>8</v>
      </c>
    </row>
    <row r="1248" spans="1:14" ht="15" customHeight="1" x14ac:dyDescent="0.2">
      <c r="A1248" s="252">
        <v>710025840103100</v>
      </c>
      <c r="B1248" s="253" t="s">
        <v>606</v>
      </c>
      <c r="C1248" s="250" t="s">
        <v>235</v>
      </c>
      <c r="D1248" s="250" t="s">
        <v>607</v>
      </c>
      <c r="K1248" s="250">
        <v>0.55000000000000004</v>
      </c>
      <c r="L1248" s="250">
        <v>90.98</v>
      </c>
      <c r="N1248" s="250">
        <v>3</v>
      </c>
    </row>
    <row r="1249" spans="1:14" ht="15" customHeight="1" x14ac:dyDescent="0.2">
      <c r="A1249" s="252">
        <v>710025840103080</v>
      </c>
      <c r="B1249" s="253" t="s">
        <v>608</v>
      </c>
      <c r="C1249" s="250" t="s">
        <v>235</v>
      </c>
      <c r="D1249" s="250" t="s">
        <v>607</v>
      </c>
      <c r="K1249" s="250">
        <v>0.55000000000000004</v>
      </c>
      <c r="L1249" s="250">
        <v>90.98</v>
      </c>
      <c r="N1249" s="250">
        <v>3</v>
      </c>
    </row>
    <row r="1250" spans="1:14" ht="15" customHeight="1" x14ac:dyDescent="0.2">
      <c r="A1250" s="252">
        <v>710025840203100</v>
      </c>
      <c r="B1250" s="253" t="s">
        <v>609</v>
      </c>
      <c r="C1250" s="250" t="s">
        <v>235</v>
      </c>
      <c r="D1250" s="250" t="s">
        <v>607</v>
      </c>
      <c r="K1250" s="250">
        <v>0.55000000000000004</v>
      </c>
      <c r="L1250" s="250">
        <v>131.30000000000001</v>
      </c>
      <c r="N1250" s="250">
        <v>4.5</v>
      </c>
    </row>
    <row r="1251" spans="1:14" ht="15" customHeight="1" x14ac:dyDescent="0.2">
      <c r="A1251" s="252">
        <v>710025840203080</v>
      </c>
      <c r="B1251" s="253" t="s">
        <v>610</v>
      </c>
      <c r="C1251" s="250" t="s">
        <v>235</v>
      </c>
      <c r="D1251" s="250" t="s">
        <v>607</v>
      </c>
      <c r="K1251" s="250">
        <v>0.55000000000000004</v>
      </c>
      <c r="L1251" s="250">
        <v>131.30000000000001</v>
      </c>
      <c r="N1251" s="250">
        <v>4.5</v>
      </c>
    </row>
    <row r="1252" spans="1:14" ht="15" customHeight="1" x14ac:dyDescent="0.2">
      <c r="A1252" s="252">
        <v>710025840303100</v>
      </c>
      <c r="B1252" s="253" t="s">
        <v>611</v>
      </c>
      <c r="C1252" s="250" t="s">
        <v>235</v>
      </c>
      <c r="D1252" s="250" t="s">
        <v>607</v>
      </c>
      <c r="K1252" s="250">
        <v>0.55000000000000004</v>
      </c>
      <c r="L1252" s="250">
        <v>186.2</v>
      </c>
      <c r="N1252" s="250">
        <v>6</v>
      </c>
    </row>
    <row r="1253" spans="1:14" ht="15" customHeight="1" x14ac:dyDescent="0.2">
      <c r="A1253" s="252">
        <v>710025840303063</v>
      </c>
      <c r="B1253" s="253" t="s">
        <v>612</v>
      </c>
      <c r="C1253" s="250" t="s">
        <v>235</v>
      </c>
      <c r="D1253" s="250" t="s">
        <v>607</v>
      </c>
      <c r="K1253" s="250">
        <v>0.55000000000000004</v>
      </c>
      <c r="L1253" s="250">
        <v>186.2</v>
      </c>
      <c r="N1253" s="250">
        <v>6</v>
      </c>
    </row>
    <row r="1254" spans="1:14" ht="15" customHeight="1" x14ac:dyDescent="0.2">
      <c r="A1254" s="252">
        <v>710025840303080</v>
      </c>
      <c r="B1254" s="253" t="s">
        <v>613</v>
      </c>
      <c r="C1254" s="250" t="s">
        <v>235</v>
      </c>
      <c r="D1254" s="250" t="s">
        <v>607</v>
      </c>
      <c r="K1254" s="250">
        <v>0.55000000000000004</v>
      </c>
      <c r="L1254" s="250">
        <v>186.2</v>
      </c>
      <c r="N1254" s="250">
        <v>6</v>
      </c>
    </row>
    <row r="1255" spans="1:14" ht="15" customHeight="1" x14ac:dyDescent="0.2">
      <c r="A1255" s="252">
        <v>710025841303100</v>
      </c>
      <c r="B1255" s="253" t="s">
        <v>1874</v>
      </c>
      <c r="C1255" s="250" t="s">
        <v>235</v>
      </c>
      <c r="D1255" s="250" t="s">
        <v>607</v>
      </c>
      <c r="K1255" s="250">
        <v>0.55000000000000004</v>
      </c>
      <c r="L1255" s="250">
        <v>194.9</v>
      </c>
      <c r="N1255" s="250">
        <v>6</v>
      </c>
    </row>
    <row r="1256" spans="1:14" ht="15" customHeight="1" x14ac:dyDescent="0.2">
      <c r="A1256" s="252">
        <v>710025841303080</v>
      </c>
      <c r="B1256" s="253" t="s">
        <v>1875</v>
      </c>
      <c r="C1256" s="250" t="s">
        <v>235</v>
      </c>
      <c r="D1256" s="250" t="s">
        <v>607</v>
      </c>
      <c r="K1256" s="250">
        <v>0.55000000000000004</v>
      </c>
      <c r="L1256" s="250">
        <v>194.9</v>
      </c>
      <c r="N1256" s="250">
        <v>6</v>
      </c>
    </row>
    <row r="1257" spans="1:14" ht="15" customHeight="1" x14ac:dyDescent="0.2">
      <c r="A1257" s="252">
        <v>710020900000003</v>
      </c>
      <c r="B1257" s="253" t="s">
        <v>614</v>
      </c>
      <c r="C1257" s="250" t="s">
        <v>235</v>
      </c>
      <c r="D1257" s="250" t="s">
        <v>607</v>
      </c>
      <c r="K1257" s="250">
        <v>0.55000000000000004</v>
      </c>
      <c r="L1257" s="250">
        <v>242.2</v>
      </c>
      <c r="N1257" s="250">
        <v>7.5</v>
      </c>
    </row>
    <row r="1258" spans="1:14" ht="15" customHeight="1" x14ac:dyDescent="0.2">
      <c r="A1258" s="252">
        <v>710020900000001</v>
      </c>
      <c r="B1258" s="253" t="s">
        <v>615</v>
      </c>
      <c r="C1258" s="250" t="s">
        <v>235</v>
      </c>
      <c r="D1258" s="250" t="s">
        <v>607</v>
      </c>
      <c r="K1258" s="250">
        <v>0.55000000000000004</v>
      </c>
      <c r="L1258" s="250">
        <v>242.2</v>
      </c>
      <c r="N1258" s="250">
        <v>7.5</v>
      </c>
    </row>
    <row r="1259" spans="1:14" ht="15" customHeight="1" x14ac:dyDescent="0.2">
      <c r="A1259" s="252">
        <v>710020900000002</v>
      </c>
      <c r="B1259" s="253" t="s">
        <v>616</v>
      </c>
      <c r="C1259" s="250" t="s">
        <v>235</v>
      </c>
      <c r="D1259" s="250" t="s">
        <v>607</v>
      </c>
      <c r="K1259" s="250">
        <v>0.55000000000000004</v>
      </c>
      <c r="L1259" s="250">
        <v>242.2</v>
      </c>
      <c r="N1259" s="250">
        <v>7.5</v>
      </c>
    </row>
    <row r="1260" spans="1:14" ht="15" customHeight="1" x14ac:dyDescent="0.2">
      <c r="A1260" s="252">
        <v>710000000000001</v>
      </c>
      <c r="B1260" s="253" t="s">
        <v>617</v>
      </c>
      <c r="C1260" s="250" t="s">
        <v>235</v>
      </c>
      <c r="D1260" s="250" t="s">
        <v>607</v>
      </c>
      <c r="K1260" s="250">
        <v>0.55000000000000004</v>
      </c>
      <c r="L1260" s="250">
        <v>46.26</v>
      </c>
      <c r="N1260" s="250">
        <v>2</v>
      </c>
    </row>
    <row r="1261" spans="1:14" ht="15" customHeight="1" x14ac:dyDescent="0.2">
      <c r="A1261" s="252">
        <v>710438400000002</v>
      </c>
      <c r="B1261" s="253" t="s">
        <v>618</v>
      </c>
      <c r="C1261" s="250" t="s">
        <v>235</v>
      </c>
      <c r="D1261" s="250" t="s">
        <v>607</v>
      </c>
      <c r="K1261" s="250">
        <v>0.55000000000000004</v>
      </c>
      <c r="L1261" s="250">
        <v>46.26</v>
      </c>
      <c r="N1261" s="250">
        <v>2</v>
      </c>
    </row>
    <row r="1262" spans="1:14" ht="15" customHeight="1" x14ac:dyDescent="0.2">
      <c r="A1262" s="252">
        <v>710438400000003</v>
      </c>
      <c r="B1262" s="253" t="s">
        <v>619</v>
      </c>
      <c r="C1262" s="250" t="s">
        <v>235</v>
      </c>
      <c r="D1262" s="250" t="s">
        <v>607</v>
      </c>
      <c r="K1262" s="250">
        <v>0.55000000000000004</v>
      </c>
      <c r="L1262" s="250">
        <v>46.26</v>
      </c>
      <c r="N1262" s="250">
        <v>2</v>
      </c>
    </row>
    <row r="1263" spans="1:14" ht="15" customHeight="1" x14ac:dyDescent="0.2">
      <c r="A1263" s="252">
        <v>710000000000007</v>
      </c>
      <c r="B1263" s="253" t="s">
        <v>620</v>
      </c>
      <c r="C1263" s="250" t="s">
        <v>235</v>
      </c>
      <c r="D1263" s="250" t="s">
        <v>607</v>
      </c>
      <c r="K1263" s="250">
        <v>0.55000000000000004</v>
      </c>
      <c r="L1263" s="250">
        <v>46.26</v>
      </c>
      <c r="N1263" s="250">
        <v>2</v>
      </c>
    </row>
    <row r="1264" spans="1:14" ht="15" customHeight="1" x14ac:dyDescent="0.2">
      <c r="A1264" s="252">
        <v>710000000000008</v>
      </c>
      <c r="B1264" s="253" t="s">
        <v>621</v>
      </c>
      <c r="C1264" s="250" t="s">
        <v>235</v>
      </c>
      <c r="D1264" s="250" t="s">
        <v>607</v>
      </c>
      <c r="K1264" s="250">
        <v>0.55000000000000004</v>
      </c>
      <c r="L1264" s="250">
        <v>46.26</v>
      </c>
      <c r="N1264" s="250">
        <v>2</v>
      </c>
    </row>
    <row r="1265" spans="1:14" ht="15" customHeight="1" x14ac:dyDescent="0.2">
      <c r="A1265" s="252">
        <v>710304713101010</v>
      </c>
      <c r="B1265" s="253" t="s">
        <v>1863</v>
      </c>
      <c r="C1265" s="250" t="s">
        <v>235</v>
      </c>
      <c r="D1265" s="250" t="s">
        <v>607</v>
      </c>
      <c r="K1265" s="250">
        <v>0.55000000000000004</v>
      </c>
      <c r="L1265" s="250">
        <v>36.08</v>
      </c>
      <c r="N1265" s="250">
        <v>2.5</v>
      </c>
    </row>
    <row r="1266" spans="1:14" ht="15" customHeight="1" x14ac:dyDescent="0.2">
      <c r="A1266" s="252">
        <v>710304713101016</v>
      </c>
      <c r="B1266" s="253" t="s">
        <v>1864</v>
      </c>
      <c r="C1266" s="250" t="s">
        <v>235</v>
      </c>
      <c r="D1266" s="250" t="s">
        <v>607</v>
      </c>
      <c r="K1266" s="250">
        <v>0.55000000000000004</v>
      </c>
      <c r="L1266" s="250">
        <v>36.08</v>
      </c>
      <c r="N1266" s="250">
        <v>2.5</v>
      </c>
    </row>
    <row r="1267" spans="1:14" ht="15" customHeight="1" x14ac:dyDescent="0.2">
      <c r="A1267" s="252">
        <v>710304713101020</v>
      </c>
      <c r="B1267" s="253" t="s">
        <v>1866</v>
      </c>
      <c r="C1267" s="250" t="s">
        <v>235</v>
      </c>
      <c r="D1267" s="250" t="s">
        <v>607</v>
      </c>
      <c r="K1267" s="250">
        <v>0.55000000000000004</v>
      </c>
      <c r="L1267" s="250">
        <v>36.08</v>
      </c>
      <c r="N1267" s="250">
        <v>2.5</v>
      </c>
    </row>
    <row r="1268" spans="1:14" ht="15" customHeight="1" x14ac:dyDescent="0.2">
      <c r="A1268" s="252">
        <v>710304713101025</v>
      </c>
      <c r="B1268" s="253" t="s">
        <v>1868</v>
      </c>
      <c r="C1268" s="250" t="s">
        <v>235</v>
      </c>
      <c r="D1268" s="250" t="s">
        <v>607</v>
      </c>
      <c r="K1268" s="250">
        <v>0.55000000000000004</v>
      </c>
      <c r="L1268" s="250">
        <v>36.08</v>
      </c>
      <c r="N1268" s="250">
        <v>2.5</v>
      </c>
    </row>
    <row r="1269" spans="1:14" ht="15" customHeight="1" x14ac:dyDescent="0.2">
      <c r="A1269" s="252">
        <v>710304713101032</v>
      </c>
      <c r="B1269" s="253" t="s">
        <v>1869</v>
      </c>
      <c r="C1269" s="250" t="s">
        <v>235</v>
      </c>
      <c r="D1269" s="250" t="s">
        <v>607</v>
      </c>
      <c r="K1269" s="250">
        <v>0.55000000000000004</v>
      </c>
      <c r="L1269" s="250">
        <v>36.08</v>
      </c>
      <c r="N1269" s="250">
        <v>2.5</v>
      </c>
    </row>
    <row r="1270" spans="1:14" ht="15" customHeight="1" x14ac:dyDescent="0.2">
      <c r="A1270" s="252">
        <v>710304713101006</v>
      </c>
      <c r="B1270" s="253" t="s">
        <v>1870</v>
      </c>
      <c r="C1270" s="250" t="s">
        <v>235</v>
      </c>
      <c r="D1270" s="250" t="s">
        <v>607</v>
      </c>
      <c r="K1270" s="250">
        <v>0.55000000000000004</v>
      </c>
      <c r="L1270" s="250">
        <v>36.08</v>
      </c>
      <c r="N1270" s="250">
        <v>2.5</v>
      </c>
    </row>
    <row r="1271" spans="1:14" ht="15" customHeight="1" x14ac:dyDescent="0.2">
      <c r="A1271" s="252">
        <v>710304723101016</v>
      </c>
      <c r="B1271" s="253" t="s">
        <v>1865</v>
      </c>
      <c r="C1271" s="250" t="s">
        <v>235</v>
      </c>
      <c r="D1271" s="250" t="s">
        <v>607</v>
      </c>
      <c r="K1271" s="250">
        <v>0.55000000000000004</v>
      </c>
      <c r="L1271" s="250">
        <v>36.86</v>
      </c>
      <c r="N1271" s="250">
        <v>2.5</v>
      </c>
    </row>
    <row r="1272" spans="1:14" ht="15" customHeight="1" x14ac:dyDescent="0.2">
      <c r="A1272" s="252">
        <v>710304723101020</v>
      </c>
      <c r="B1272" s="253" t="s">
        <v>1867</v>
      </c>
      <c r="C1272" s="250" t="s">
        <v>235</v>
      </c>
      <c r="D1272" s="250" t="s">
        <v>607</v>
      </c>
      <c r="K1272" s="250">
        <v>0.55000000000000004</v>
      </c>
      <c r="L1272" s="250">
        <v>36.86</v>
      </c>
      <c r="N1272" s="250">
        <v>2.5</v>
      </c>
    </row>
    <row r="1273" spans="1:14" ht="15" customHeight="1" x14ac:dyDescent="0.2">
      <c r="A1273" s="252">
        <v>710304713102010</v>
      </c>
      <c r="B1273" s="253" t="s">
        <v>622</v>
      </c>
      <c r="C1273" s="250" t="s">
        <v>235</v>
      </c>
      <c r="D1273" s="250" t="s">
        <v>607</v>
      </c>
      <c r="K1273" s="250">
        <v>0.55000000000000004</v>
      </c>
      <c r="L1273" s="250">
        <v>48.26</v>
      </c>
      <c r="N1273" s="250">
        <v>3.5</v>
      </c>
    </row>
    <row r="1274" spans="1:14" ht="15" customHeight="1" x14ac:dyDescent="0.2">
      <c r="A1274" s="252">
        <v>710304713102016</v>
      </c>
      <c r="B1274" s="253" t="s">
        <v>623</v>
      </c>
      <c r="C1274" s="250" t="s">
        <v>235</v>
      </c>
      <c r="D1274" s="250" t="s">
        <v>607</v>
      </c>
      <c r="K1274" s="250">
        <v>0.55000000000000004</v>
      </c>
      <c r="L1274" s="250">
        <v>48.26</v>
      </c>
      <c r="N1274" s="250">
        <v>3.5</v>
      </c>
    </row>
    <row r="1275" spans="1:14" ht="15" customHeight="1" x14ac:dyDescent="0.2">
      <c r="A1275" s="252">
        <v>710304713102020</v>
      </c>
      <c r="B1275" s="253" t="s">
        <v>625</v>
      </c>
      <c r="C1275" s="250" t="s">
        <v>235</v>
      </c>
      <c r="D1275" s="250" t="s">
        <v>607</v>
      </c>
      <c r="K1275" s="250">
        <v>0.55000000000000004</v>
      </c>
      <c r="L1275" s="250">
        <v>48.26</v>
      </c>
      <c r="N1275" s="250">
        <v>3.5</v>
      </c>
    </row>
    <row r="1276" spans="1:14" ht="15" customHeight="1" x14ac:dyDescent="0.2">
      <c r="A1276" s="252">
        <v>710304713102025</v>
      </c>
      <c r="B1276" s="253" t="s">
        <v>627</v>
      </c>
      <c r="C1276" s="250" t="s">
        <v>235</v>
      </c>
      <c r="D1276" s="250" t="s">
        <v>607</v>
      </c>
      <c r="K1276" s="250">
        <v>0.55000000000000004</v>
      </c>
      <c r="L1276" s="250">
        <v>48.26</v>
      </c>
      <c r="N1276" s="250">
        <v>3.5</v>
      </c>
    </row>
    <row r="1277" spans="1:14" ht="15" customHeight="1" x14ac:dyDescent="0.2">
      <c r="A1277" s="252">
        <v>710304713102032</v>
      </c>
      <c r="B1277" s="253" t="s">
        <v>628</v>
      </c>
      <c r="C1277" s="250" t="s">
        <v>235</v>
      </c>
      <c r="D1277" s="250" t="s">
        <v>607</v>
      </c>
      <c r="K1277" s="250">
        <v>0.55000000000000004</v>
      </c>
      <c r="L1277" s="250">
        <v>48.26</v>
      </c>
      <c r="N1277" s="250">
        <v>3.5</v>
      </c>
    </row>
    <row r="1278" spans="1:14" ht="15" customHeight="1" x14ac:dyDescent="0.2">
      <c r="A1278" s="252">
        <v>710304713102006</v>
      </c>
      <c r="B1278" s="253" t="s">
        <v>630</v>
      </c>
      <c r="C1278" s="250" t="s">
        <v>235</v>
      </c>
      <c r="D1278" s="250" t="s">
        <v>607</v>
      </c>
      <c r="K1278" s="250">
        <v>0.55000000000000004</v>
      </c>
      <c r="L1278" s="250">
        <v>48.26</v>
      </c>
      <c r="N1278" s="250">
        <v>3.5</v>
      </c>
    </row>
    <row r="1279" spans="1:14" ht="15" customHeight="1" x14ac:dyDescent="0.2">
      <c r="A1279" s="252">
        <v>710304723102016</v>
      </c>
      <c r="B1279" s="253" t="s">
        <v>624</v>
      </c>
      <c r="C1279" s="250" t="s">
        <v>235</v>
      </c>
      <c r="D1279" s="250" t="s">
        <v>607</v>
      </c>
      <c r="K1279" s="250">
        <v>0.55000000000000004</v>
      </c>
      <c r="L1279" s="250">
        <v>49.04</v>
      </c>
      <c r="N1279" s="250">
        <v>3.5</v>
      </c>
    </row>
    <row r="1280" spans="1:14" ht="15" customHeight="1" x14ac:dyDescent="0.2">
      <c r="A1280" s="252">
        <v>710304723102020</v>
      </c>
      <c r="B1280" s="253" t="s">
        <v>626</v>
      </c>
      <c r="C1280" s="250" t="s">
        <v>235</v>
      </c>
      <c r="D1280" s="250" t="s">
        <v>607</v>
      </c>
      <c r="K1280" s="250">
        <v>0.55000000000000004</v>
      </c>
      <c r="L1280" s="250">
        <v>49.04</v>
      </c>
      <c r="N1280" s="250">
        <v>3.5</v>
      </c>
    </row>
    <row r="1281" spans="1:14" ht="15" customHeight="1" x14ac:dyDescent="0.2">
      <c r="A1281" s="252">
        <v>710304723102032</v>
      </c>
      <c r="B1281" s="253" t="s">
        <v>629</v>
      </c>
      <c r="C1281" s="250" t="s">
        <v>235</v>
      </c>
      <c r="D1281" s="250" t="s">
        <v>607</v>
      </c>
      <c r="K1281" s="250">
        <v>0.55000000000000004</v>
      </c>
      <c r="L1281" s="250">
        <v>49.04</v>
      </c>
      <c r="N1281" s="250">
        <v>3.5</v>
      </c>
    </row>
    <row r="1282" spans="1:14" ht="15" customHeight="1" x14ac:dyDescent="0.2">
      <c r="A1282" s="252">
        <v>710304713103010</v>
      </c>
      <c r="B1282" s="253" t="s">
        <v>631</v>
      </c>
      <c r="C1282" s="250" t="s">
        <v>235</v>
      </c>
      <c r="D1282" s="250" t="s">
        <v>607</v>
      </c>
      <c r="K1282" s="250">
        <v>0.55000000000000004</v>
      </c>
      <c r="L1282" s="250">
        <v>73.319999999999993</v>
      </c>
      <c r="N1282" s="250">
        <v>5</v>
      </c>
    </row>
    <row r="1283" spans="1:14" ht="15" customHeight="1" x14ac:dyDescent="0.2">
      <c r="A1283" s="252">
        <v>710304713103016</v>
      </c>
      <c r="B1283" s="253" t="s">
        <v>632</v>
      </c>
      <c r="C1283" s="250" t="s">
        <v>235</v>
      </c>
      <c r="D1283" s="250" t="s">
        <v>607</v>
      </c>
      <c r="K1283" s="250">
        <v>0.55000000000000004</v>
      </c>
      <c r="L1283" s="250">
        <v>73.319999999999993</v>
      </c>
      <c r="N1283" s="250">
        <v>5</v>
      </c>
    </row>
    <row r="1284" spans="1:14" ht="15" customHeight="1" x14ac:dyDescent="0.2">
      <c r="A1284" s="252">
        <v>710304713103020</v>
      </c>
      <c r="B1284" s="253" t="s">
        <v>633</v>
      </c>
      <c r="C1284" s="250" t="s">
        <v>235</v>
      </c>
      <c r="D1284" s="250" t="s">
        <v>607</v>
      </c>
      <c r="K1284" s="250">
        <v>0.55000000000000004</v>
      </c>
      <c r="L1284" s="250">
        <v>73.319999999999993</v>
      </c>
      <c r="N1284" s="250">
        <v>5</v>
      </c>
    </row>
    <row r="1285" spans="1:14" ht="15" customHeight="1" x14ac:dyDescent="0.2">
      <c r="A1285" s="252">
        <v>710304713103025</v>
      </c>
      <c r="B1285" s="253" t="s">
        <v>634</v>
      </c>
      <c r="C1285" s="250" t="s">
        <v>235</v>
      </c>
      <c r="D1285" s="250" t="s">
        <v>607</v>
      </c>
      <c r="K1285" s="250">
        <v>0.55000000000000004</v>
      </c>
      <c r="L1285" s="250">
        <v>73.319999999999993</v>
      </c>
      <c r="N1285" s="250">
        <v>5</v>
      </c>
    </row>
    <row r="1286" spans="1:14" ht="15" customHeight="1" x14ac:dyDescent="0.2">
      <c r="A1286" s="252">
        <v>710304713103032</v>
      </c>
      <c r="B1286" s="253" t="s">
        <v>635</v>
      </c>
      <c r="C1286" s="250" t="s">
        <v>235</v>
      </c>
      <c r="D1286" s="250" t="s">
        <v>607</v>
      </c>
      <c r="K1286" s="250">
        <v>0.55000000000000004</v>
      </c>
      <c r="L1286" s="250">
        <v>73.319999999999993</v>
      </c>
      <c r="N1286" s="250">
        <v>5</v>
      </c>
    </row>
    <row r="1287" spans="1:14" ht="15" customHeight="1" x14ac:dyDescent="0.2">
      <c r="A1287" s="252">
        <v>710304713134010</v>
      </c>
      <c r="B1287" s="253" t="s">
        <v>1876</v>
      </c>
      <c r="C1287" s="250" t="s">
        <v>235</v>
      </c>
      <c r="D1287" s="250" t="s">
        <v>607</v>
      </c>
      <c r="K1287" s="250">
        <v>0.55000000000000004</v>
      </c>
      <c r="L1287" s="250">
        <v>79.239999999999995</v>
      </c>
      <c r="N1287" s="250">
        <v>5.5</v>
      </c>
    </row>
    <row r="1288" spans="1:14" ht="15" customHeight="1" x14ac:dyDescent="0.2">
      <c r="A1288" s="252">
        <v>710304713134016</v>
      </c>
      <c r="B1288" s="253" t="s">
        <v>1877</v>
      </c>
      <c r="C1288" s="250" t="s">
        <v>235</v>
      </c>
      <c r="D1288" s="250" t="s">
        <v>607</v>
      </c>
      <c r="K1288" s="250">
        <v>0.55000000000000004</v>
      </c>
      <c r="L1288" s="250">
        <v>79.239999999999995</v>
      </c>
      <c r="N1288" s="250">
        <v>5.5</v>
      </c>
    </row>
    <row r="1289" spans="1:14" ht="15" customHeight="1" x14ac:dyDescent="0.2">
      <c r="A1289" s="252">
        <v>710304713134020</v>
      </c>
      <c r="B1289" s="253" t="s">
        <v>1878</v>
      </c>
      <c r="C1289" s="250" t="s">
        <v>235</v>
      </c>
      <c r="D1289" s="250" t="s">
        <v>607</v>
      </c>
      <c r="K1289" s="250">
        <v>0.55000000000000004</v>
      </c>
      <c r="L1289" s="250">
        <v>79.239999999999995</v>
      </c>
      <c r="N1289" s="250">
        <v>5.5</v>
      </c>
    </row>
    <row r="1290" spans="1:14" ht="15" customHeight="1" x14ac:dyDescent="0.2">
      <c r="A1290" s="252">
        <v>710304713134025</v>
      </c>
      <c r="B1290" s="253" t="s">
        <v>1879</v>
      </c>
      <c r="C1290" s="250" t="s">
        <v>235</v>
      </c>
      <c r="D1290" s="250" t="s">
        <v>607</v>
      </c>
      <c r="K1290" s="250">
        <v>0.55000000000000004</v>
      </c>
      <c r="L1290" s="250">
        <v>79.239999999999995</v>
      </c>
      <c r="N1290" s="250">
        <v>5.5</v>
      </c>
    </row>
    <row r="1291" spans="1:14" ht="15" customHeight="1" x14ac:dyDescent="0.2">
      <c r="A1291" s="252">
        <v>710304713134032</v>
      </c>
      <c r="B1291" s="253" t="s">
        <v>1880</v>
      </c>
      <c r="C1291" s="250" t="s">
        <v>235</v>
      </c>
      <c r="D1291" s="250" t="s">
        <v>607</v>
      </c>
      <c r="K1291" s="250">
        <v>0.55000000000000004</v>
      </c>
      <c r="L1291" s="250">
        <v>79.239999999999995</v>
      </c>
      <c r="N1291" s="250">
        <v>5.5</v>
      </c>
    </row>
    <row r="1292" spans="1:14" ht="15" customHeight="1" x14ac:dyDescent="0.2">
      <c r="A1292" s="252">
        <v>710304723134032</v>
      </c>
      <c r="B1292" s="253" t="s">
        <v>1881</v>
      </c>
      <c r="C1292" s="250" t="s">
        <v>235</v>
      </c>
      <c r="D1292" s="250" t="s">
        <v>607</v>
      </c>
      <c r="K1292" s="250">
        <v>0.55000000000000004</v>
      </c>
      <c r="L1292" s="250">
        <v>80.09</v>
      </c>
      <c r="N1292" s="250">
        <v>5.5</v>
      </c>
    </row>
    <row r="1293" spans="1:14" ht="15" customHeight="1" x14ac:dyDescent="0.2">
      <c r="A1293" s="252">
        <v>710304713104010</v>
      </c>
      <c r="B1293" s="253" t="s">
        <v>636</v>
      </c>
      <c r="C1293" s="250" t="s">
        <v>235</v>
      </c>
      <c r="D1293" s="250" t="s">
        <v>607</v>
      </c>
      <c r="K1293" s="250">
        <v>0.55000000000000004</v>
      </c>
      <c r="L1293" s="250">
        <v>86</v>
      </c>
      <c r="N1293" s="250">
        <v>6.5</v>
      </c>
    </row>
    <row r="1294" spans="1:14" ht="15" customHeight="1" x14ac:dyDescent="0.2">
      <c r="A1294" s="252">
        <v>710304713104016</v>
      </c>
      <c r="B1294" s="253" t="s">
        <v>638</v>
      </c>
      <c r="C1294" s="250" t="s">
        <v>235</v>
      </c>
      <c r="D1294" s="250" t="s">
        <v>607</v>
      </c>
      <c r="K1294" s="250">
        <v>0.55000000000000004</v>
      </c>
      <c r="L1294" s="250">
        <v>86</v>
      </c>
      <c r="N1294" s="250">
        <v>6.5</v>
      </c>
    </row>
    <row r="1295" spans="1:14" ht="15" customHeight="1" x14ac:dyDescent="0.2">
      <c r="A1295" s="252">
        <v>710304713104020</v>
      </c>
      <c r="B1295" s="253" t="s">
        <v>640</v>
      </c>
      <c r="C1295" s="250" t="s">
        <v>235</v>
      </c>
      <c r="D1295" s="250" t="s">
        <v>607</v>
      </c>
      <c r="K1295" s="250">
        <v>0.55000000000000004</v>
      </c>
      <c r="L1295" s="250">
        <v>86</v>
      </c>
      <c r="N1295" s="250">
        <v>6.5</v>
      </c>
    </row>
    <row r="1296" spans="1:14" ht="15" customHeight="1" x14ac:dyDescent="0.2">
      <c r="A1296" s="252">
        <v>710304713104025</v>
      </c>
      <c r="B1296" s="253" t="s">
        <v>642</v>
      </c>
      <c r="C1296" s="250" t="s">
        <v>235</v>
      </c>
      <c r="D1296" s="250" t="s">
        <v>607</v>
      </c>
      <c r="K1296" s="250">
        <v>0.55000000000000004</v>
      </c>
      <c r="L1296" s="250">
        <v>86</v>
      </c>
      <c r="N1296" s="250">
        <v>6.5</v>
      </c>
    </row>
    <row r="1297" spans="1:14" ht="15" customHeight="1" x14ac:dyDescent="0.2">
      <c r="A1297" s="252">
        <v>710304713104032</v>
      </c>
      <c r="B1297" s="253" t="s">
        <v>643</v>
      </c>
      <c r="C1297" s="250" t="s">
        <v>235</v>
      </c>
      <c r="D1297" s="250" t="s">
        <v>607</v>
      </c>
      <c r="K1297" s="250">
        <v>0.55000000000000004</v>
      </c>
      <c r="L1297" s="250">
        <v>86</v>
      </c>
      <c r="N1297" s="250">
        <v>6.5</v>
      </c>
    </row>
    <row r="1298" spans="1:14" ht="15" customHeight="1" x14ac:dyDescent="0.2">
      <c r="A1298" s="252">
        <v>710304723106016</v>
      </c>
      <c r="B1298" s="253" t="s">
        <v>637</v>
      </c>
      <c r="C1298" s="250" t="s">
        <v>235</v>
      </c>
      <c r="D1298" s="250" t="s">
        <v>607</v>
      </c>
      <c r="K1298" s="250">
        <v>0.55000000000000004</v>
      </c>
      <c r="L1298" s="250">
        <v>86.77</v>
      </c>
      <c r="N1298" s="250">
        <v>6.5</v>
      </c>
    </row>
    <row r="1299" spans="1:14" ht="15" customHeight="1" x14ac:dyDescent="0.2">
      <c r="A1299" s="252">
        <v>710304723106016</v>
      </c>
      <c r="B1299" s="253" t="s">
        <v>639</v>
      </c>
      <c r="C1299" s="250" t="s">
        <v>235</v>
      </c>
      <c r="D1299" s="250" t="s">
        <v>607</v>
      </c>
      <c r="K1299" s="250">
        <v>0.55000000000000004</v>
      </c>
      <c r="L1299" s="250">
        <v>86.77</v>
      </c>
      <c r="N1299" s="250">
        <v>6.5</v>
      </c>
    </row>
    <row r="1300" spans="1:14" ht="15" customHeight="1" x14ac:dyDescent="0.2">
      <c r="A1300" s="252">
        <v>710304723106020</v>
      </c>
      <c r="B1300" s="253" t="s">
        <v>641</v>
      </c>
      <c r="C1300" s="250" t="s">
        <v>235</v>
      </c>
      <c r="D1300" s="250" t="s">
        <v>607</v>
      </c>
      <c r="K1300" s="250">
        <v>0.55000000000000004</v>
      </c>
      <c r="L1300" s="250">
        <v>86.77</v>
      </c>
      <c r="N1300" s="250">
        <v>6.5</v>
      </c>
    </row>
    <row r="1301" spans="1:14" ht="15" customHeight="1" x14ac:dyDescent="0.2">
      <c r="A1301" s="252">
        <v>710304723106032</v>
      </c>
      <c r="B1301" s="253" t="s">
        <v>644</v>
      </c>
      <c r="C1301" s="250" t="s">
        <v>235</v>
      </c>
      <c r="D1301" s="250" t="s">
        <v>607</v>
      </c>
      <c r="K1301" s="250">
        <v>0.55000000000000004</v>
      </c>
      <c r="L1301" s="250">
        <v>86.77</v>
      </c>
      <c r="N1301" s="250">
        <v>6.5</v>
      </c>
    </row>
    <row r="1302" spans="1:14" ht="15" customHeight="1" x14ac:dyDescent="0.2">
      <c r="A1302" s="252">
        <v>710304716101040</v>
      </c>
      <c r="B1302" s="253" t="s">
        <v>1871</v>
      </c>
      <c r="C1302" s="250" t="s">
        <v>235</v>
      </c>
      <c r="D1302" s="250" t="s">
        <v>607</v>
      </c>
      <c r="K1302" s="250">
        <v>0.55000000000000004</v>
      </c>
      <c r="L1302" s="250">
        <v>49.43</v>
      </c>
      <c r="N1302" s="250">
        <v>3</v>
      </c>
    </row>
    <row r="1303" spans="1:14" ht="15" customHeight="1" x14ac:dyDescent="0.2">
      <c r="A1303" s="252">
        <v>710304716101050</v>
      </c>
      <c r="B1303" s="253" t="s">
        <v>1872</v>
      </c>
      <c r="C1303" s="250" t="s">
        <v>235</v>
      </c>
      <c r="D1303" s="250" t="s">
        <v>607</v>
      </c>
      <c r="K1303" s="250">
        <v>0.55000000000000004</v>
      </c>
      <c r="L1303" s="250">
        <v>53.48</v>
      </c>
      <c r="N1303" s="250">
        <v>3</v>
      </c>
    </row>
    <row r="1304" spans="1:14" ht="15" customHeight="1" x14ac:dyDescent="0.2">
      <c r="A1304" s="252">
        <v>710304716101060</v>
      </c>
      <c r="B1304" s="253" t="s">
        <v>1873</v>
      </c>
      <c r="C1304" s="250" t="s">
        <v>235</v>
      </c>
      <c r="D1304" s="250" t="s">
        <v>607</v>
      </c>
      <c r="K1304" s="250">
        <v>0.55000000000000004</v>
      </c>
      <c r="L1304" s="250">
        <v>53.48</v>
      </c>
      <c r="N1304" s="250">
        <v>3</v>
      </c>
    </row>
    <row r="1305" spans="1:14" ht="15" customHeight="1" x14ac:dyDescent="0.2">
      <c r="A1305" s="252">
        <v>710304716102040</v>
      </c>
      <c r="B1305" s="253" t="s">
        <v>645</v>
      </c>
      <c r="C1305" s="250" t="s">
        <v>235</v>
      </c>
      <c r="D1305" s="250" t="s">
        <v>607</v>
      </c>
      <c r="K1305" s="250">
        <v>0.55000000000000004</v>
      </c>
      <c r="L1305" s="250">
        <v>63.44</v>
      </c>
      <c r="N1305" s="250">
        <v>4</v>
      </c>
    </row>
    <row r="1306" spans="1:14" ht="15" customHeight="1" x14ac:dyDescent="0.2">
      <c r="A1306" s="252">
        <v>710304716102050</v>
      </c>
      <c r="B1306" s="253" t="s">
        <v>646</v>
      </c>
      <c r="C1306" s="250" t="s">
        <v>235</v>
      </c>
      <c r="D1306" s="250" t="s">
        <v>607</v>
      </c>
      <c r="K1306" s="250">
        <v>0.55000000000000004</v>
      </c>
      <c r="L1306" s="250">
        <v>67.59</v>
      </c>
      <c r="N1306" s="250">
        <v>4</v>
      </c>
    </row>
    <row r="1307" spans="1:14" ht="15" customHeight="1" x14ac:dyDescent="0.2">
      <c r="A1307" s="252">
        <v>710304716102060</v>
      </c>
      <c r="B1307" s="253" t="s">
        <v>647</v>
      </c>
      <c r="C1307" s="250" t="s">
        <v>235</v>
      </c>
      <c r="D1307" s="250" t="s">
        <v>607</v>
      </c>
      <c r="K1307" s="250">
        <v>0.55000000000000004</v>
      </c>
      <c r="L1307" s="250">
        <v>67.59</v>
      </c>
      <c r="N1307" s="250">
        <v>4</v>
      </c>
    </row>
    <row r="1308" spans="1:14" ht="15" customHeight="1" x14ac:dyDescent="0.2">
      <c r="A1308" s="252">
        <v>710304716103040</v>
      </c>
      <c r="B1308" s="253" t="s">
        <v>648</v>
      </c>
      <c r="C1308" s="250" t="s">
        <v>235</v>
      </c>
      <c r="D1308" s="250" t="s">
        <v>607</v>
      </c>
      <c r="K1308" s="250">
        <v>0.55000000000000004</v>
      </c>
      <c r="L1308" s="250">
        <v>84.16</v>
      </c>
      <c r="N1308" s="250">
        <v>6</v>
      </c>
    </row>
    <row r="1309" spans="1:14" ht="15" customHeight="1" x14ac:dyDescent="0.2">
      <c r="A1309" s="252">
        <v>710304716103060</v>
      </c>
      <c r="B1309" s="253" t="s">
        <v>649</v>
      </c>
      <c r="C1309" s="250" t="s">
        <v>235</v>
      </c>
      <c r="D1309" s="250" t="s">
        <v>607</v>
      </c>
      <c r="K1309" s="250">
        <v>0.55000000000000004</v>
      </c>
      <c r="L1309" s="250">
        <v>89.63</v>
      </c>
      <c r="N1309" s="250">
        <v>6</v>
      </c>
    </row>
    <row r="1310" spans="1:14" ht="15" customHeight="1" x14ac:dyDescent="0.2">
      <c r="A1310" s="252">
        <v>710304726103060</v>
      </c>
      <c r="B1310" s="253" t="s">
        <v>650</v>
      </c>
      <c r="C1310" s="250" t="s">
        <v>235</v>
      </c>
      <c r="D1310" s="250" t="s">
        <v>607</v>
      </c>
      <c r="K1310" s="250">
        <v>0.55000000000000004</v>
      </c>
      <c r="L1310" s="250">
        <v>90.51</v>
      </c>
      <c r="N1310" s="250">
        <v>6</v>
      </c>
    </row>
    <row r="1311" spans="1:14" ht="15" customHeight="1" x14ac:dyDescent="0.2">
      <c r="A1311" s="252">
        <v>710304716134040</v>
      </c>
      <c r="B1311" s="253" t="s">
        <v>1882</v>
      </c>
      <c r="C1311" s="250" t="s">
        <v>235</v>
      </c>
      <c r="D1311" s="250" t="s">
        <v>607</v>
      </c>
      <c r="K1311" s="250">
        <v>0.55000000000000004</v>
      </c>
      <c r="L1311" s="250">
        <v>89.77</v>
      </c>
      <c r="N1311" s="250">
        <v>6.5</v>
      </c>
    </row>
    <row r="1312" spans="1:14" ht="15" customHeight="1" x14ac:dyDescent="0.2">
      <c r="A1312" s="252">
        <v>710304716134050</v>
      </c>
      <c r="B1312" s="253" t="s">
        <v>1883</v>
      </c>
      <c r="C1312" s="250" t="s">
        <v>235</v>
      </c>
      <c r="D1312" s="250" t="s">
        <v>607</v>
      </c>
      <c r="K1312" s="250">
        <v>0.55000000000000004</v>
      </c>
      <c r="L1312" s="250">
        <v>95.79</v>
      </c>
      <c r="N1312" s="250">
        <v>6.5</v>
      </c>
    </row>
    <row r="1313" spans="1:14" ht="15" customHeight="1" x14ac:dyDescent="0.2">
      <c r="A1313" s="252">
        <v>710304716134060</v>
      </c>
      <c r="B1313" s="253" t="s">
        <v>1884</v>
      </c>
      <c r="C1313" s="250" t="s">
        <v>235</v>
      </c>
      <c r="D1313" s="250" t="s">
        <v>607</v>
      </c>
      <c r="K1313" s="250">
        <v>0.55000000000000004</v>
      </c>
      <c r="L1313" s="250">
        <v>95.79</v>
      </c>
      <c r="N1313" s="250">
        <v>6.5</v>
      </c>
    </row>
    <row r="1314" spans="1:14" ht="15" customHeight="1" x14ac:dyDescent="0.2">
      <c r="A1314" s="252">
        <v>710304726134060</v>
      </c>
      <c r="B1314" s="253" t="s">
        <v>1885</v>
      </c>
      <c r="C1314" s="250" t="s">
        <v>235</v>
      </c>
      <c r="D1314" s="250" t="s">
        <v>607</v>
      </c>
      <c r="K1314" s="250">
        <v>0.55000000000000004</v>
      </c>
      <c r="L1314" s="250">
        <v>97.63</v>
      </c>
      <c r="N1314" s="250">
        <v>6.5</v>
      </c>
    </row>
    <row r="1315" spans="1:14" ht="15" customHeight="1" x14ac:dyDescent="0.2">
      <c r="A1315" s="252">
        <v>710304716104040</v>
      </c>
      <c r="B1315" s="253" t="s">
        <v>651</v>
      </c>
      <c r="C1315" s="250" t="s">
        <v>235</v>
      </c>
      <c r="D1315" s="250" t="s">
        <v>607</v>
      </c>
      <c r="K1315" s="250">
        <v>0.55000000000000004</v>
      </c>
      <c r="L1315" s="250">
        <v>110.2</v>
      </c>
      <c r="N1315" s="250">
        <v>7.5</v>
      </c>
    </row>
    <row r="1316" spans="1:14" ht="15" customHeight="1" x14ac:dyDescent="0.2">
      <c r="A1316" s="252">
        <v>710304716104050</v>
      </c>
      <c r="B1316" s="253" t="s">
        <v>652</v>
      </c>
      <c r="C1316" s="250" t="s">
        <v>235</v>
      </c>
      <c r="D1316" s="250" t="s">
        <v>607</v>
      </c>
      <c r="K1316" s="250">
        <v>0.55000000000000004</v>
      </c>
      <c r="L1316" s="250">
        <v>117.3</v>
      </c>
      <c r="N1316" s="250">
        <v>7.5</v>
      </c>
    </row>
    <row r="1317" spans="1:14" ht="15" customHeight="1" x14ac:dyDescent="0.2">
      <c r="A1317" s="252">
        <v>710304716104060</v>
      </c>
      <c r="B1317" s="253" t="s">
        <v>653</v>
      </c>
      <c r="C1317" s="250" t="s">
        <v>235</v>
      </c>
      <c r="D1317" s="250" t="s">
        <v>607</v>
      </c>
      <c r="K1317" s="250">
        <v>0.55000000000000004</v>
      </c>
      <c r="L1317" s="250">
        <v>117.3</v>
      </c>
      <c r="N1317" s="250">
        <v>7.5</v>
      </c>
    </row>
    <row r="1318" spans="1:14" ht="15" customHeight="1" x14ac:dyDescent="0.2">
      <c r="A1318" s="252">
        <v>710304726106060</v>
      </c>
      <c r="B1318" s="253" t="s">
        <v>654</v>
      </c>
      <c r="C1318" s="250" t="s">
        <v>235</v>
      </c>
      <c r="D1318" s="250" t="s">
        <v>607</v>
      </c>
      <c r="K1318" s="250">
        <v>0.55000000000000004</v>
      </c>
      <c r="L1318" s="250">
        <v>118.3</v>
      </c>
      <c r="N1318" s="250">
        <v>7.5</v>
      </c>
    </row>
    <row r="1319" spans="1:14" ht="15" customHeight="1" x14ac:dyDescent="0.2">
      <c r="A1319" s="252">
        <v>710430400000001</v>
      </c>
      <c r="B1319" s="253" t="s">
        <v>655</v>
      </c>
      <c r="C1319" s="250" t="s">
        <v>235</v>
      </c>
      <c r="D1319" s="250" t="s">
        <v>656</v>
      </c>
      <c r="K1319" s="250">
        <v>0.55000000000000004</v>
      </c>
      <c r="L1319" s="250">
        <v>5.51</v>
      </c>
      <c r="N1319" s="250">
        <v>1</v>
      </c>
    </row>
    <row r="1320" spans="1:14" ht="15" customHeight="1" x14ac:dyDescent="0.2">
      <c r="A1320" s="252">
        <v>710430400000002</v>
      </c>
      <c r="B1320" s="253" t="s">
        <v>657</v>
      </c>
      <c r="C1320" s="250" t="s">
        <v>235</v>
      </c>
      <c r="D1320" s="250" t="s">
        <v>656</v>
      </c>
      <c r="K1320" s="250">
        <v>0.55000000000000004</v>
      </c>
      <c r="L1320" s="250">
        <v>9.25</v>
      </c>
      <c r="N1320" s="250">
        <v>2</v>
      </c>
    </row>
    <row r="1321" spans="1:14" ht="15" customHeight="1" x14ac:dyDescent="0.2">
      <c r="A1321" s="252">
        <v>710430400000003</v>
      </c>
      <c r="B1321" s="253" t="s">
        <v>658</v>
      </c>
      <c r="C1321" s="250" t="s">
        <v>235</v>
      </c>
      <c r="D1321" s="250" t="s">
        <v>656</v>
      </c>
      <c r="K1321" s="250">
        <v>0.55000000000000004</v>
      </c>
      <c r="L1321" s="250">
        <v>9.8699999999999992</v>
      </c>
      <c r="N1321" s="250">
        <v>2</v>
      </c>
    </row>
    <row r="1322" spans="1:14" ht="15" customHeight="1" x14ac:dyDescent="0.2">
      <c r="A1322" s="252">
        <v>710430400000004</v>
      </c>
      <c r="B1322" s="253" t="s">
        <v>659</v>
      </c>
      <c r="C1322" s="250" t="s">
        <v>235</v>
      </c>
      <c r="D1322" s="250" t="s">
        <v>656</v>
      </c>
      <c r="K1322" s="250">
        <v>0.55000000000000004</v>
      </c>
      <c r="L1322" s="250">
        <v>12.85</v>
      </c>
      <c r="N1322" s="250">
        <v>3</v>
      </c>
    </row>
    <row r="1323" spans="1:14" ht="15" customHeight="1" x14ac:dyDescent="0.2">
      <c r="A1323" s="252">
        <v>710430400000005</v>
      </c>
      <c r="B1323" s="253" t="s">
        <v>660</v>
      </c>
      <c r="C1323" s="250" t="s">
        <v>235</v>
      </c>
      <c r="D1323" s="250" t="s">
        <v>656</v>
      </c>
      <c r="K1323" s="250">
        <v>0.55000000000000004</v>
      </c>
      <c r="L1323" s="250">
        <v>16.739999999999998</v>
      </c>
      <c r="N1323" s="250">
        <v>4</v>
      </c>
    </row>
    <row r="1324" spans="1:14" ht="15" customHeight="1" x14ac:dyDescent="0.2">
      <c r="A1324" s="252">
        <v>710021151300010</v>
      </c>
      <c r="B1324" s="253" t="s">
        <v>672</v>
      </c>
      <c r="C1324" s="250" t="s">
        <v>235</v>
      </c>
      <c r="D1324" s="250" t="s">
        <v>58</v>
      </c>
      <c r="K1324" s="250">
        <v>0.55000000000000004</v>
      </c>
      <c r="L1324" s="250">
        <v>151</v>
      </c>
    </row>
    <row r="1325" spans="1:14" ht="15" customHeight="1" x14ac:dyDescent="0.2">
      <c r="A1325" s="252">
        <v>710021100000941</v>
      </c>
      <c r="B1325" s="253" t="s">
        <v>230</v>
      </c>
      <c r="C1325" s="250" t="s">
        <v>235</v>
      </c>
      <c r="D1325" s="250" t="s">
        <v>58</v>
      </c>
      <c r="K1325" s="250">
        <v>0.55000000000000004</v>
      </c>
      <c r="L1325" s="250">
        <v>197</v>
      </c>
    </row>
    <row r="1326" spans="1:14" ht="15" customHeight="1" x14ac:dyDescent="0.2">
      <c r="A1326" s="252">
        <v>710021121300100</v>
      </c>
      <c r="B1326" s="253" t="s">
        <v>231</v>
      </c>
      <c r="C1326" s="250" t="s">
        <v>235</v>
      </c>
      <c r="D1326" s="250" t="s">
        <v>58</v>
      </c>
      <c r="K1326" s="250">
        <v>0.55000000000000004</v>
      </c>
      <c r="L1326" s="250">
        <v>321</v>
      </c>
    </row>
    <row r="1327" spans="1:14" ht="15" customHeight="1" x14ac:dyDescent="0.2">
      <c r="A1327" s="252">
        <v>710021141300225</v>
      </c>
      <c r="B1327" s="253" t="s">
        <v>228</v>
      </c>
      <c r="C1327" s="250" t="s">
        <v>235</v>
      </c>
      <c r="D1327" s="250" t="s">
        <v>58</v>
      </c>
      <c r="K1327" s="250">
        <v>0.55000000000000004</v>
      </c>
      <c r="L1327" s="250">
        <v>826</v>
      </c>
    </row>
    <row r="1328" spans="1:14" ht="15" customHeight="1" x14ac:dyDescent="0.2">
      <c r="A1328" s="252">
        <v>710021161300400</v>
      </c>
      <c r="B1328" s="253" t="s">
        <v>219</v>
      </c>
      <c r="C1328" s="250" t="s">
        <v>235</v>
      </c>
      <c r="D1328" s="250" t="s">
        <v>58</v>
      </c>
      <c r="K1328" s="250">
        <v>0.55000000000000004</v>
      </c>
      <c r="L1328" s="250">
        <v>1114</v>
      </c>
    </row>
    <row r="1329" spans="1:12" ht="15" customHeight="1" x14ac:dyDescent="0.2">
      <c r="A1329" s="252">
        <v>710053600000298</v>
      </c>
      <c r="B1329" s="253" t="s">
        <v>679</v>
      </c>
      <c r="C1329" s="250" t="s">
        <v>235</v>
      </c>
      <c r="D1329" s="250" t="s">
        <v>58</v>
      </c>
      <c r="K1329" s="250">
        <v>0.55000000000000004</v>
      </c>
      <c r="L1329" s="250">
        <v>1488</v>
      </c>
    </row>
    <row r="1330" spans="1:12" ht="15" customHeight="1" x14ac:dyDescent="0.2">
      <c r="B1330" s="253" t="s">
        <v>670</v>
      </c>
      <c r="C1330" s="250" t="s">
        <v>235</v>
      </c>
      <c r="D1330" s="250" t="s">
        <v>58</v>
      </c>
      <c r="K1330" s="250">
        <v>0.55000000000000004</v>
      </c>
      <c r="L1330" s="250">
        <v>4059</v>
      </c>
    </row>
    <row r="1331" spans="1:12" ht="15" customHeight="1" x14ac:dyDescent="0.2">
      <c r="B1331" s="253" t="s">
        <v>4168</v>
      </c>
      <c r="C1331" s="250" t="s">
        <v>235</v>
      </c>
      <c r="D1331" s="250" t="s">
        <v>58</v>
      </c>
      <c r="K1331" s="250">
        <v>0.55000000000000004</v>
      </c>
      <c r="L1331" s="250">
        <v>191</v>
      </c>
    </row>
    <row r="1332" spans="1:12" ht="15" customHeight="1" x14ac:dyDescent="0.2">
      <c r="A1332" s="252">
        <v>710021111310104</v>
      </c>
      <c r="B1332" s="253" t="s">
        <v>661</v>
      </c>
      <c r="C1332" s="250" t="s">
        <v>235</v>
      </c>
      <c r="D1332" s="250" t="s">
        <v>58</v>
      </c>
      <c r="K1332" s="250">
        <v>0.55000000000000004</v>
      </c>
      <c r="L1332" s="250">
        <v>237</v>
      </c>
    </row>
    <row r="1333" spans="1:12" ht="15" customHeight="1" x14ac:dyDescent="0.2">
      <c r="A1333" s="252">
        <v>710021121310164</v>
      </c>
      <c r="B1333" s="253" t="s">
        <v>665</v>
      </c>
      <c r="C1333" s="250" t="s">
        <v>235</v>
      </c>
      <c r="D1333" s="250" t="s">
        <v>58</v>
      </c>
      <c r="K1333" s="250">
        <v>0.55000000000000004</v>
      </c>
      <c r="L1333" s="250">
        <v>361</v>
      </c>
    </row>
    <row r="1334" spans="1:12" ht="15" customHeight="1" x14ac:dyDescent="0.2">
      <c r="A1334" s="252">
        <v>710021141310402</v>
      </c>
      <c r="B1334" s="253" t="s">
        <v>667</v>
      </c>
      <c r="C1334" s="250" t="s">
        <v>235</v>
      </c>
      <c r="D1334" s="250" t="s">
        <v>58</v>
      </c>
      <c r="K1334" s="250">
        <v>0.55000000000000004</v>
      </c>
      <c r="L1334" s="250">
        <v>915</v>
      </c>
    </row>
    <row r="1335" spans="1:12" ht="15" customHeight="1" x14ac:dyDescent="0.2">
      <c r="A1335" s="252">
        <v>710021161310632</v>
      </c>
      <c r="B1335" s="253" t="s">
        <v>675</v>
      </c>
      <c r="C1335" s="250" t="s">
        <v>235</v>
      </c>
      <c r="D1335" s="250" t="s">
        <v>58</v>
      </c>
      <c r="K1335" s="250">
        <v>0.55000000000000004</v>
      </c>
      <c r="L1335" s="250">
        <v>1203</v>
      </c>
    </row>
    <row r="1336" spans="1:12" ht="15" customHeight="1" x14ac:dyDescent="0.2">
      <c r="A1336" s="252">
        <v>710021151340010</v>
      </c>
      <c r="B1336" s="253" t="s">
        <v>673</v>
      </c>
      <c r="C1336" s="250" t="s">
        <v>235</v>
      </c>
      <c r="D1336" s="250" t="s">
        <v>58</v>
      </c>
      <c r="K1336" s="250">
        <v>0.55000000000000004</v>
      </c>
      <c r="L1336" s="250">
        <v>207</v>
      </c>
    </row>
    <row r="1337" spans="1:12" ht="15" customHeight="1" x14ac:dyDescent="0.2">
      <c r="A1337" s="252">
        <v>710021111340105</v>
      </c>
      <c r="B1337" s="253" t="s">
        <v>663</v>
      </c>
      <c r="C1337" s="250" t="s">
        <v>235</v>
      </c>
      <c r="D1337" s="250" t="s">
        <v>58</v>
      </c>
      <c r="K1337" s="250">
        <v>0.55000000000000004</v>
      </c>
      <c r="L1337" s="250">
        <v>253</v>
      </c>
    </row>
    <row r="1338" spans="1:12" ht="15" customHeight="1" x14ac:dyDescent="0.2">
      <c r="A1338" s="252">
        <v>710021121340162</v>
      </c>
      <c r="B1338" s="253" t="s">
        <v>666</v>
      </c>
      <c r="C1338" s="250" t="s">
        <v>235</v>
      </c>
      <c r="D1338" s="250" t="s">
        <v>58</v>
      </c>
      <c r="K1338" s="250">
        <v>0.55000000000000004</v>
      </c>
      <c r="L1338" s="250">
        <v>378</v>
      </c>
    </row>
    <row r="1339" spans="1:12" ht="15" customHeight="1" x14ac:dyDescent="0.2">
      <c r="A1339" s="252">
        <v>710021141540402</v>
      </c>
      <c r="B1339" s="253" t="s">
        <v>668</v>
      </c>
      <c r="C1339" s="250" t="s">
        <v>235</v>
      </c>
      <c r="D1339" s="250" t="s">
        <v>58</v>
      </c>
      <c r="K1339" s="250">
        <v>0.55000000000000004</v>
      </c>
      <c r="L1339" s="250">
        <v>948</v>
      </c>
    </row>
    <row r="1340" spans="1:12" ht="15" customHeight="1" x14ac:dyDescent="0.2">
      <c r="A1340" s="252">
        <v>710021161340632</v>
      </c>
      <c r="B1340" s="253" t="s">
        <v>676</v>
      </c>
      <c r="C1340" s="250" t="s">
        <v>235</v>
      </c>
      <c r="D1340" s="250" t="s">
        <v>58</v>
      </c>
      <c r="K1340" s="250">
        <v>0.55000000000000004</v>
      </c>
      <c r="L1340" s="250">
        <v>1236</v>
      </c>
    </row>
    <row r="1341" spans="1:12" ht="15" customHeight="1" x14ac:dyDescent="0.2">
      <c r="B1341" s="253" t="s">
        <v>4169</v>
      </c>
      <c r="C1341" s="250" t="s">
        <v>235</v>
      </c>
      <c r="D1341" s="250" t="s">
        <v>58</v>
      </c>
      <c r="K1341" s="250">
        <v>0.55000000000000004</v>
      </c>
      <c r="L1341" s="250">
        <v>1622</v>
      </c>
    </row>
    <row r="1342" spans="1:12" ht="15" customHeight="1" x14ac:dyDescent="0.2">
      <c r="A1342" s="252">
        <v>710021152300010</v>
      </c>
      <c r="B1342" s="253" t="s">
        <v>674</v>
      </c>
      <c r="C1342" s="250" t="s">
        <v>235</v>
      </c>
      <c r="D1342" s="250" t="s">
        <v>58</v>
      </c>
      <c r="K1342" s="250">
        <v>0.55000000000000004</v>
      </c>
      <c r="L1342" s="250">
        <v>171</v>
      </c>
    </row>
    <row r="1343" spans="1:12" ht="15" customHeight="1" x14ac:dyDescent="0.2">
      <c r="A1343" s="252">
        <v>710021112500025</v>
      </c>
      <c r="B1343" s="253" t="s">
        <v>662</v>
      </c>
      <c r="C1343" s="250" t="s">
        <v>235</v>
      </c>
      <c r="D1343" s="250" t="s">
        <v>58</v>
      </c>
      <c r="K1343" s="250">
        <v>0.55000000000000004</v>
      </c>
      <c r="L1343" s="250">
        <v>217</v>
      </c>
    </row>
    <row r="1344" spans="1:12" ht="15" customHeight="1" x14ac:dyDescent="0.2">
      <c r="A1344" s="252">
        <v>710053600002236</v>
      </c>
      <c r="B1344" s="253" t="s">
        <v>664</v>
      </c>
      <c r="C1344" s="250" t="s">
        <v>235</v>
      </c>
      <c r="D1344" s="250" t="s">
        <v>58</v>
      </c>
      <c r="K1344" s="250">
        <v>0.55000000000000004</v>
      </c>
      <c r="L1344" s="250">
        <v>359</v>
      </c>
    </row>
    <row r="1345" spans="1:12" ht="15" customHeight="1" x14ac:dyDescent="0.2">
      <c r="B1345" s="253" t="s">
        <v>671</v>
      </c>
      <c r="C1345" s="250" t="s">
        <v>235</v>
      </c>
      <c r="D1345" s="250" t="s">
        <v>58</v>
      </c>
      <c r="K1345" s="250">
        <v>0.55000000000000004</v>
      </c>
      <c r="L1345" s="250">
        <v>964</v>
      </c>
    </row>
    <row r="1346" spans="1:12" ht="15" customHeight="1" x14ac:dyDescent="0.2">
      <c r="A1346" s="252">
        <v>710021162300600</v>
      </c>
      <c r="B1346" s="253" t="s">
        <v>677</v>
      </c>
      <c r="C1346" s="250" t="s">
        <v>235</v>
      </c>
      <c r="D1346" s="250" t="s">
        <v>58</v>
      </c>
      <c r="K1346" s="250">
        <v>0.55000000000000004</v>
      </c>
      <c r="L1346" s="250">
        <v>1192</v>
      </c>
    </row>
    <row r="1347" spans="1:12" ht="15" customHeight="1" x14ac:dyDescent="0.2">
      <c r="A1347" s="252">
        <v>710021182300630</v>
      </c>
      <c r="B1347" s="253" t="s">
        <v>678</v>
      </c>
      <c r="C1347" s="250" t="s">
        <v>235</v>
      </c>
      <c r="D1347" s="250" t="s">
        <v>58</v>
      </c>
      <c r="K1347" s="250">
        <v>0.55000000000000004</v>
      </c>
      <c r="L1347" s="250">
        <v>1569</v>
      </c>
    </row>
    <row r="1348" spans="1:12" ht="15" customHeight="1" x14ac:dyDescent="0.2">
      <c r="A1348" s="252">
        <v>710021132300111</v>
      </c>
      <c r="B1348" s="253" t="s">
        <v>669</v>
      </c>
      <c r="C1348" s="250" t="s">
        <v>235</v>
      </c>
      <c r="D1348" s="250" t="s">
        <v>58</v>
      </c>
      <c r="K1348" s="250">
        <v>0.55000000000000004</v>
      </c>
      <c r="L1348" s="250">
        <v>4636</v>
      </c>
    </row>
    <row r="1349" spans="1:12" ht="15" customHeight="1" x14ac:dyDescent="0.2">
      <c r="A1349" s="252">
        <v>710021100000915</v>
      </c>
      <c r="B1349" s="253" t="s">
        <v>680</v>
      </c>
      <c r="C1349" s="250" t="s">
        <v>235</v>
      </c>
      <c r="D1349" s="250" t="s">
        <v>58</v>
      </c>
      <c r="K1349" s="250">
        <v>0.55000000000000004</v>
      </c>
      <c r="L1349" s="250">
        <v>2319</v>
      </c>
    </row>
    <row r="1350" spans="1:12" ht="15" customHeight="1" x14ac:dyDescent="0.2">
      <c r="A1350" s="252">
        <v>710021100002133</v>
      </c>
      <c r="B1350" s="253" t="s">
        <v>683</v>
      </c>
      <c r="C1350" s="250" t="s">
        <v>235</v>
      </c>
      <c r="D1350" s="250" t="s">
        <v>58</v>
      </c>
      <c r="K1350" s="250">
        <v>0.55000000000000004</v>
      </c>
      <c r="L1350" s="250">
        <v>1626</v>
      </c>
    </row>
    <row r="1351" spans="1:12" ht="15" customHeight="1" x14ac:dyDescent="0.2">
      <c r="A1351" s="252">
        <v>710021100002123</v>
      </c>
      <c r="B1351" s="253" t="s">
        <v>681</v>
      </c>
      <c r="C1351" s="250" t="s">
        <v>235</v>
      </c>
      <c r="D1351" s="250" t="s">
        <v>58</v>
      </c>
      <c r="K1351" s="250">
        <v>0.55000000000000004</v>
      </c>
      <c r="L1351" s="250">
        <v>1286</v>
      </c>
    </row>
    <row r="1352" spans="1:12" ht="15" customHeight="1" x14ac:dyDescent="0.2">
      <c r="A1352" s="252">
        <v>710021122431100</v>
      </c>
      <c r="B1352" s="253" t="s">
        <v>686</v>
      </c>
      <c r="C1352" s="250" t="s">
        <v>235</v>
      </c>
      <c r="D1352" s="250" t="s">
        <v>58</v>
      </c>
      <c r="K1352" s="250">
        <v>0.55000000000000004</v>
      </c>
      <c r="L1352" s="250">
        <v>481</v>
      </c>
    </row>
    <row r="1353" spans="1:12" ht="15" customHeight="1" x14ac:dyDescent="0.2">
      <c r="A1353" s="252">
        <v>710021112431025</v>
      </c>
      <c r="B1353" s="253" t="s">
        <v>684</v>
      </c>
      <c r="C1353" s="250" t="s">
        <v>235</v>
      </c>
      <c r="D1353" s="250" t="s">
        <v>58</v>
      </c>
      <c r="K1353" s="250">
        <v>0.55000000000000004</v>
      </c>
      <c r="L1353" s="250">
        <v>288</v>
      </c>
    </row>
    <row r="1354" spans="1:12" ht="15" customHeight="1" x14ac:dyDescent="0.2">
      <c r="A1354" s="252">
        <v>710021152700010</v>
      </c>
      <c r="B1354" s="253" t="s">
        <v>689</v>
      </c>
      <c r="C1354" s="250" t="s">
        <v>235</v>
      </c>
      <c r="D1354" s="250" t="s">
        <v>58</v>
      </c>
      <c r="K1354" s="250">
        <v>0.55000000000000004</v>
      </c>
      <c r="L1354" s="250">
        <v>225</v>
      </c>
    </row>
    <row r="1355" spans="1:12" ht="15" customHeight="1" x14ac:dyDescent="0.2">
      <c r="A1355" s="252">
        <v>710053600001959</v>
      </c>
      <c r="B1355" s="253" t="s">
        <v>682</v>
      </c>
      <c r="C1355" s="250" t="s">
        <v>235</v>
      </c>
      <c r="D1355" s="250" t="s">
        <v>58</v>
      </c>
      <c r="K1355" s="250">
        <v>0.55000000000000004</v>
      </c>
      <c r="L1355" s="250">
        <v>1408</v>
      </c>
    </row>
    <row r="1356" spans="1:12" ht="15" customHeight="1" x14ac:dyDescent="0.2">
      <c r="A1356" s="252">
        <v>710021122740164</v>
      </c>
      <c r="B1356" s="253" t="s">
        <v>687</v>
      </c>
      <c r="C1356" s="250" t="s">
        <v>235</v>
      </c>
      <c r="D1356" s="250" t="s">
        <v>58</v>
      </c>
      <c r="K1356" s="250">
        <v>0.55000000000000004</v>
      </c>
      <c r="L1356" s="250">
        <v>538</v>
      </c>
    </row>
    <row r="1357" spans="1:12" ht="15" customHeight="1" x14ac:dyDescent="0.2">
      <c r="A1357" s="252">
        <v>710021100000125</v>
      </c>
      <c r="B1357" s="253" t="s">
        <v>685</v>
      </c>
      <c r="C1357" s="250" t="s">
        <v>235</v>
      </c>
      <c r="D1357" s="250" t="s">
        <v>58</v>
      </c>
      <c r="K1357" s="250">
        <v>0.55000000000000004</v>
      </c>
      <c r="L1357" s="250">
        <v>344</v>
      </c>
    </row>
    <row r="1358" spans="1:12" ht="15" customHeight="1" x14ac:dyDescent="0.2">
      <c r="A1358" s="252">
        <v>710053600000288</v>
      </c>
      <c r="B1358" s="253" t="s">
        <v>691</v>
      </c>
      <c r="C1358" s="250" t="s">
        <v>235</v>
      </c>
      <c r="D1358" s="250" t="s">
        <v>58</v>
      </c>
      <c r="K1358" s="250">
        <v>0.55000000000000004</v>
      </c>
      <c r="L1358" s="250">
        <v>422</v>
      </c>
    </row>
    <row r="1359" spans="1:12" ht="15" customHeight="1" x14ac:dyDescent="0.2">
      <c r="A1359" s="252">
        <v>710021141700225</v>
      </c>
      <c r="B1359" s="253" t="s">
        <v>688</v>
      </c>
      <c r="C1359" s="250" t="s">
        <v>235</v>
      </c>
      <c r="D1359" s="250" t="s">
        <v>58</v>
      </c>
      <c r="K1359" s="250">
        <v>0.55000000000000004</v>
      </c>
      <c r="L1359" s="250">
        <v>1176</v>
      </c>
    </row>
    <row r="1360" spans="1:12" ht="15" customHeight="1" x14ac:dyDescent="0.2">
      <c r="A1360" s="252">
        <v>710021161700400</v>
      </c>
      <c r="B1360" s="253" t="s">
        <v>690</v>
      </c>
      <c r="C1360" s="250" t="s">
        <v>235</v>
      </c>
      <c r="D1360" s="250" t="s">
        <v>58</v>
      </c>
      <c r="K1360" s="250">
        <v>0.55000000000000004</v>
      </c>
      <c r="L1360" s="250">
        <v>1493</v>
      </c>
    </row>
    <row r="1361" spans="1:12" ht="15" customHeight="1" x14ac:dyDescent="0.2">
      <c r="A1361" s="252">
        <v>710053600000294</v>
      </c>
      <c r="B1361" s="253" t="s">
        <v>692</v>
      </c>
      <c r="C1361" s="250" t="s">
        <v>235</v>
      </c>
      <c r="D1361" s="250" t="s">
        <v>58</v>
      </c>
      <c r="K1361" s="250">
        <v>0.55000000000000004</v>
      </c>
      <c r="L1361" s="250">
        <v>2181</v>
      </c>
    </row>
    <row r="1362" spans="1:12" ht="15" customHeight="1" x14ac:dyDescent="0.2">
      <c r="B1362" s="253" t="s">
        <v>3186</v>
      </c>
      <c r="C1362" s="250" t="s">
        <v>235</v>
      </c>
      <c r="D1362" s="250" t="s">
        <v>58</v>
      </c>
      <c r="K1362" s="250">
        <v>0.55000000000000004</v>
      </c>
      <c r="L1362" s="250">
        <v>158</v>
      </c>
    </row>
    <row r="1363" spans="1:12" ht="15" customHeight="1" x14ac:dyDescent="0.2">
      <c r="B1363" s="253" t="s">
        <v>3187</v>
      </c>
      <c r="C1363" s="250" t="s">
        <v>235</v>
      </c>
      <c r="D1363" s="250" t="s">
        <v>58</v>
      </c>
      <c r="K1363" s="250">
        <v>0.55000000000000004</v>
      </c>
      <c r="L1363" s="250">
        <v>199</v>
      </c>
    </row>
    <row r="1364" spans="1:12" ht="15" customHeight="1" x14ac:dyDescent="0.2">
      <c r="B1364" s="253" t="s">
        <v>4170</v>
      </c>
      <c r="C1364" s="250" t="s">
        <v>235</v>
      </c>
      <c r="D1364" s="250" t="s">
        <v>58</v>
      </c>
      <c r="K1364" s="250">
        <v>0.55000000000000004</v>
      </c>
      <c r="L1364" s="250">
        <v>293</v>
      </c>
    </row>
    <row r="1365" spans="1:12" ht="15" customHeight="1" x14ac:dyDescent="0.2">
      <c r="B1365" s="253" t="s">
        <v>3188</v>
      </c>
      <c r="C1365" s="250" t="s">
        <v>235</v>
      </c>
      <c r="D1365" s="250" t="s">
        <v>58</v>
      </c>
      <c r="K1365" s="250">
        <v>0.55000000000000004</v>
      </c>
      <c r="L1365" s="250">
        <v>322</v>
      </c>
    </row>
    <row r="1366" spans="1:12" ht="15" customHeight="1" x14ac:dyDescent="0.2">
      <c r="B1366" s="253" t="s">
        <v>4171</v>
      </c>
      <c r="C1366" s="250" t="s">
        <v>235</v>
      </c>
      <c r="D1366" s="250" t="s">
        <v>58</v>
      </c>
      <c r="K1366" s="250">
        <v>0.55000000000000004</v>
      </c>
      <c r="L1366" s="250">
        <v>571</v>
      </c>
    </row>
    <row r="1367" spans="1:12" ht="15" customHeight="1" x14ac:dyDescent="0.2">
      <c r="B1367" s="253" t="s">
        <v>3189</v>
      </c>
      <c r="C1367" s="250" t="s">
        <v>235</v>
      </c>
      <c r="D1367" s="250" t="s">
        <v>58</v>
      </c>
      <c r="K1367" s="250">
        <v>0.55000000000000004</v>
      </c>
      <c r="L1367" s="250">
        <v>705</v>
      </c>
    </row>
    <row r="1368" spans="1:12" ht="15" customHeight="1" x14ac:dyDescent="0.2">
      <c r="B1368" s="253" t="s">
        <v>3190</v>
      </c>
      <c r="C1368" s="250" t="s">
        <v>235</v>
      </c>
      <c r="D1368" s="250" t="s">
        <v>58</v>
      </c>
      <c r="K1368" s="250">
        <v>0.55000000000000004</v>
      </c>
      <c r="L1368" s="250">
        <v>1092</v>
      </c>
    </row>
    <row r="1369" spans="1:12" ht="15" customHeight="1" x14ac:dyDescent="0.2">
      <c r="B1369" s="253" t="s">
        <v>3191</v>
      </c>
      <c r="C1369" s="250" t="s">
        <v>235</v>
      </c>
      <c r="D1369" s="250" t="s">
        <v>58</v>
      </c>
      <c r="K1369" s="250">
        <v>0.55000000000000004</v>
      </c>
      <c r="L1369" s="250">
        <v>1517</v>
      </c>
    </row>
    <row r="1370" spans="1:12" ht="15" customHeight="1" x14ac:dyDescent="0.2">
      <c r="B1370" s="253" t="s">
        <v>3922</v>
      </c>
      <c r="C1370" s="250" t="s">
        <v>235</v>
      </c>
      <c r="D1370" s="250" t="s">
        <v>58</v>
      </c>
      <c r="K1370" s="250">
        <v>0.55000000000000004</v>
      </c>
      <c r="L1370" s="250">
        <v>3306</v>
      </c>
    </row>
    <row r="1371" spans="1:12" ht="15" customHeight="1" x14ac:dyDescent="0.2">
      <c r="B1371" s="253" t="s">
        <v>3923</v>
      </c>
      <c r="C1371" s="250" t="s">
        <v>235</v>
      </c>
      <c r="D1371" s="250" t="s">
        <v>58</v>
      </c>
      <c r="K1371" s="250">
        <v>0.55000000000000004</v>
      </c>
      <c r="L1371" s="250">
        <v>4265</v>
      </c>
    </row>
    <row r="1372" spans="1:12" ht="15" customHeight="1" x14ac:dyDescent="0.2">
      <c r="B1372" s="253" t="s">
        <v>3192</v>
      </c>
      <c r="C1372" s="250" t="s">
        <v>235</v>
      </c>
      <c r="D1372" s="250" t="s">
        <v>58</v>
      </c>
      <c r="K1372" s="250">
        <v>0.55000000000000004</v>
      </c>
      <c r="L1372" s="250">
        <v>206</v>
      </c>
    </row>
    <row r="1373" spans="1:12" ht="15" customHeight="1" x14ac:dyDescent="0.2">
      <c r="B1373" s="253" t="s">
        <v>3193</v>
      </c>
      <c r="C1373" s="250" t="s">
        <v>235</v>
      </c>
      <c r="D1373" s="250" t="s">
        <v>58</v>
      </c>
      <c r="K1373" s="250">
        <v>0.55000000000000004</v>
      </c>
      <c r="L1373" s="250">
        <v>248</v>
      </c>
    </row>
    <row r="1374" spans="1:12" ht="15" customHeight="1" x14ac:dyDescent="0.2">
      <c r="B1374" s="253" t="s">
        <v>3194</v>
      </c>
      <c r="C1374" s="250" t="s">
        <v>235</v>
      </c>
      <c r="D1374" s="250" t="s">
        <v>58</v>
      </c>
      <c r="K1374" s="250">
        <v>0.55000000000000004</v>
      </c>
      <c r="L1374" s="250">
        <v>342</v>
      </c>
    </row>
    <row r="1375" spans="1:12" ht="15" customHeight="1" x14ac:dyDescent="0.2">
      <c r="B1375" s="253" t="s">
        <v>3195</v>
      </c>
      <c r="C1375" s="250" t="s">
        <v>235</v>
      </c>
      <c r="D1375" s="250" t="s">
        <v>58</v>
      </c>
      <c r="K1375" s="250">
        <v>0.55000000000000004</v>
      </c>
      <c r="L1375" s="250">
        <v>371</v>
      </c>
    </row>
    <row r="1376" spans="1:12" ht="15" customHeight="1" x14ac:dyDescent="0.2">
      <c r="B1376" s="253" t="s">
        <v>3196</v>
      </c>
      <c r="C1376" s="250" t="s">
        <v>235</v>
      </c>
      <c r="D1376" s="250" t="s">
        <v>58</v>
      </c>
      <c r="K1376" s="250">
        <v>0.55000000000000004</v>
      </c>
      <c r="L1376" s="250">
        <v>620</v>
      </c>
    </row>
    <row r="1377" spans="2:12" ht="15" customHeight="1" x14ac:dyDescent="0.2">
      <c r="B1377" s="253" t="s">
        <v>3197</v>
      </c>
      <c r="C1377" s="250" t="s">
        <v>235</v>
      </c>
      <c r="D1377" s="250" t="s">
        <v>58</v>
      </c>
      <c r="K1377" s="250">
        <v>0.55000000000000004</v>
      </c>
      <c r="L1377" s="250">
        <v>815</v>
      </c>
    </row>
    <row r="1378" spans="2:12" ht="15" customHeight="1" x14ac:dyDescent="0.2">
      <c r="B1378" s="253" t="s">
        <v>3198</v>
      </c>
      <c r="C1378" s="250" t="s">
        <v>235</v>
      </c>
      <c r="D1378" s="250" t="s">
        <v>58</v>
      </c>
      <c r="K1378" s="250">
        <v>0.55000000000000004</v>
      </c>
      <c r="L1378" s="250">
        <v>1202</v>
      </c>
    </row>
    <row r="1379" spans="2:12" ht="15" customHeight="1" x14ac:dyDescent="0.2">
      <c r="B1379" s="253" t="s">
        <v>3199</v>
      </c>
      <c r="C1379" s="250" t="s">
        <v>235</v>
      </c>
      <c r="D1379" s="250" t="s">
        <v>58</v>
      </c>
      <c r="K1379" s="250">
        <v>0.55000000000000004</v>
      </c>
      <c r="L1379" s="250">
        <v>1639</v>
      </c>
    </row>
    <row r="1380" spans="2:12" ht="15" customHeight="1" x14ac:dyDescent="0.2">
      <c r="B1380" s="253" t="s">
        <v>3200</v>
      </c>
      <c r="C1380" s="250" t="s">
        <v>235</v>
      </c>
      <c r="D1380" s="250" t="s">
        <v>58</v>
      </c>
      <c r="K1380" s="250">
        <v>0.55000000000000004</v>
      </c>
      <c r="L1380" s="250">
        <v>3441</v>
      </c>
    </row>
    <row r="1381" spans="2:12" ht="15" customHeight="1" x14ac:dyDescent="0.2">
      <c r="B1381" s="253" t="s">
        <v>3201</v>
      </c>
      <c r="C1381" s="250" t="s">
        <v>235</v>
      </c>
      <c r="D1381" s="250" t="s">
        <v>58</v>
      </c>
      <c r="K1381" s="250">
        <v>0.55000000000000004</v>
      </c>
      <c r="L1381" s="250">
        <v>228</v>
      </c>
    </row>
    <row r="1382" spans="2:12" ht="15" customHeight="1" x14ac:dyDescent="0.2">
      <c r="B1382" s="253" t="s">
        <v>3202</v>
      </c>
      <c r="C1382" s="250" t="s">
        <v>235</v>
      </c>
      <c r="D1382" s="250" t="s">
        <v>58</v>
      </c>
      <c r="K1382" s="250">
        <v>0.55000000000000004</v>
      </c>
      <c r="L1382" s="250">
        <v>270</v>
      </c>
    </row>
    <row r="1383" spans="2:12" ht="15" customHeight="1" x14ac:dyDescent="0.2">
      <c r="B1383" s="253" t="s">
        <v>3203</v>
      </c>
      <c r="C1383" s="250" t="s">
        <v>235</v>
      </c>
      <c r="D1383" s="250" t="s">
        <v>58</v>
      </c>
      <c r="K1383" s="250">
        <v>0.55000000000000004</v>
      </c>
      <c r="L1383" s="250">
        <v>364</v>
      </c>
    </row>
    <row r="1384" spans="2:12" ht="15" customHeight="1" x14ac:dyDescent="0.2">
      <c r="B1384" s="253" t="s">
        <v>3204</v>
      </c>
      <c r="C1384" s="250" t="s">
        <v>235</v>
      </c>
      <c r="D1384" s="250" t="s">
        <v>58</v>
      </c>
      <c r="K1384" s="250">
        <v>0.55000000000000004</v>
      </c>
      <c r="L1384" s="250">
        <v>393</v>
      </c>
    </row>
    <row r="1385" spans="2:12" ht="15" customHeight="1" x14ac:dyDescent="0.2">
      <c r="B1385" s="253" t="s">
        <v>3205</v>
      </c>
      <c r="C1385" s="250" t="s">
        <v>235</v>
      </c>
      <c r="D1385" s="250" t="s">
        <v>58</v>
      </c>
      <c r="K1385" s="250">
        <v>0.55000000000000004</v>
      </c>
      <c r="L1385" s="250">
        <v>642</v>
      </c>
    </row>
    <row r="1386" spans="2:12" ht="15" customHeight="1" x14ac:dyDescent="0.2">
      <c r="B1386" s="253" t="s">
        <v>3206</v>
      </c>
      <c r="C1386" s="250" t="s">
        <v>235</v>
      </c>
      <c r="D1386" s="250" t="s">
        <v>58</v>
      </c>
      <c r="K1386" s="250">
        <v>0.55000000000000004</v>
      </c>
      <c r="L1386" s="250">
        <v>859</v>
      </c>
    </row>
    <row r="1387" spans="2:12" ht="15" customHeight="1" x14ac:dyDescent="0.2">
      <c r="B1387" s="253" t="s">
        <v>3207</v>
      </c>
      <c r="C1387" s="250" t="s">
        <v>235</v>
      </c>
      <c r="D1387" s="250" t="s">
        <v>58</v>
      </c>
      <c r="K1387" s="250">
        <v>0.55000000000000004</v>
      </c>
      <c r="L1387" s="250">
        <v>1246</v>
      </c>
    </row>
    <row r="1388" spans="2:12" ht="15" customHeight="1" x14ac:dyDescent="0.2">
      <c r="B1388" s="253" t="s">
        <v>3208</v>
      </c>
      <c r="C1388" s="250" t="s">
        <v>235</v>
      </c>
      <c r="D1388" s="250" t="s">
        <v>58</v>
      </c>
      <c r="K1388" s="250">
        <v>0.55000000000000004</v>
      </c>
      <c r="L1388" s="250">
        <v>1683</v>
      </c>
    </row>
    <row r="1389" spans="2:12" ht="15" customHeight="1" x14ac:dyDescent="0.2">
      <c r="B1389" s="253" t="s">
        <v>3209</v>
      </c>
      <c r="C1389" s="250" t="s">
        <v>235</v>
      </c>
      <c r="D1389" s="250" t="s">
        <v>58</v>
      </c>
      <c r="K1389" s="250">
        <v>0.55000000000000004</v>
      </c>
      <c r="L1389" s="250">
        <v>205</v>
      </c>
    </row>
    <row r="1390" spans="2:12" ht="15" customHeight="1" x14ac:dyDescent="0.2">
      <c r="B1390" s="253" t="s">
        <v>3210</v>
      </c>
      <c r="C1390" s="250" t="s">
        <v>235</v>
      </c>
      <c r="D1390" s="250" t="s">
        <v>58</v>
      </c>
      <c r="K1390" s="250">
        <v>0.55000000000000004</v>
      </c>
      <c r="L1390" s="250">
        <v>274</v>
      </c>
    </row>
    <row r="1391" spans="2:12" ht="15" customHeight="1" x14ac:dyDescent="0.2">
      <c r="B1391" s="253" t="s">
        <v>3211</v>
      </c>
      <c r="C1391" s="250" t="s">
        <v>235</v>
      </c>
      <c r="D1391" s="250" t="s">
        <v>58</v>
      </c>
      <c r="K1391" s="250">
        <v>0.55000000000000004</v>
      </c>
      <c r="L1391" s="250">
        <v>388</v>
      </c>
    </row>
    <row r="1392" spans="2:12" ht="15" customHeight="1" x14ac:dyDescent="0.2">
      <c r="B1392" s="253" t="s">
        <v>3212</v>
      </c>
      <c r="C1392" s="250" t="s">
        <v>235</v>
      </c>
      <c r="D1392" s="250" t="s">
        <v>58</v>
      </c>
      <c r="K1392" s="250">
        <v>0.55000000000000004</v>
      </c>
      <c r="L1392" s="250">
        <v>424</v>
      </c>
    </row>
    <row r="1393" spans="2:12" ht="15" customHeight="1" x14ac:dyDescent="0.2">
      <c r="B1393" s="253" t="s">
        <v>3213</v>
      </c>
      <c r="C1393" s="250" t="s">
        <v>235</v>
      </c>
      <c r="D1393" s="250" t="s">
        <v>58</v>
      </c>
      <c r="K1393" s="250">
        <v>0.55000000000000004</v>
      </c>
      <c r="L1393" s="250">
        <v>888</v>
      </c>
    </row>
    <row r="1394" spans="2:12" ht="15" customHeight="1" x14ac:dyDescent="0.2">
      <c r="B1394" s="253" t="s">
        <v>3214</v>
      </c>
      <c r="C1394" s="250" t="s">
        <v>235</v>
      </c>
      <c r="D1394" s="250" t="s">
        <v>58</v>
      </c>
      <c r="K1394" s="250">
        <v>0.55000000000000004</v>
      </c>
      <c r="L1394" s="250">
        <v>1008</v>
      </c>
    </row>
    <row r="1395" spans="2:12" ht="15" customHeight="1" x14ac:dyDescent="0.2">
      <c r="B1395" s="253" t="s">
        <v>3215</v>
      </c>
      <c r="C1395" s="250" t="s">
        <v>235</v>
      </c>
      <c r="D1395" s="250" t="s">
        <v>58</v>
      </c>
      <c r="K1395" s="250">
        <v>0.55000000000000004</v>
      </c>
      <c r="L1395" s="250">
        <v>1477</v>
      </c>
    </row>
    <row r="1396" spans="2:12" ht="15" customHeight="1" x14ac:dyDescent="0.2">
      <c r="B1396" s="253" t="s">
        <v>3216</v>
      </c>
      <c r="C1396" s="250" t="s">
        <v>235</v>
      </c>
      <c r="D1396" s="250" t="s">
        <v>58</v>
      </c>
      <c r="K1396" s="250">
        <v>0.55000000000000004</v>
      </c>
      <c r="L1396" s="250">
        <v>2208</v>
      </c>
    </row>
    <row r="1397" spans="2:12" ht="15" customHeight="1" x14ac:dyDescent="0.2">
      <c r="B1397" s="253" t="s">
        <v>3217</v>
      </c>
      <c r="C1397" s="250" t="s">
        <v>235</v>
      </c>
      <c r="D1397" s="250" t="s">
        <v>58</v>
      </c>
      <c r="K1397" s="250">
        <v>0.55000000000000004</v>
      </c>
      <c r="L1397" s="250">
        <v>4251</v>
      </c>
    </row>
    <row r="1398" spans="2:12" ht="15" customHeight="1" x14ac:dyDescent="0.2">
      <c r="B1398" s="253" t="s">
        <v>3218</v>
      </c>
      <c r="C1398" s="250" t="s">
        <v>235</v>
      </c>
      <c r="D1398" s="250" t="s">
        <v>58</v>
      </c>
      <c r="K1398" s="250">
        <v>0.55000000000000004</v>
      </c>
      <c r="L1398" s="250">
        <v>5481</v>
      </c>
    </row>
    <row r="1399" spans="2:12" ht="15" customHeight="1" x14ac:dyDescent="0.2">
      <c r="B1399" s="253" t="s">
        <v>3219</v>
      </c>
      <c r="C1399" s="250" t="s">
        <v>235</v>
      </c>
      <c r="D1399" s="250" t="s">
        <v>58</v>
      </c>
      <c r="K1399" s="250">
        <v>0.55000000000000004</v>
      </c>
      <c r="L1399" s="250">
        <v>179</v>
      </c>
    </row>
    <row r="1400" spans="2:12" ht="15" customHeight="1" x14ac:dyDescent="0.2">
      <c r="B1400" s="253" t="s">
        <v>3220</v>
      </c>
      <c r="C1400" s="250" t="s">
        <v>235</v>
      </c>
      <c r="D1400" s="250" t="s">
        <v>58</v>
      </c>
      <c r="K1400" s="250">
        <v>0.55000000000000004</v>
      </c>
      <c r="L1400" s="250">
        <v>219</v>
      </c>
    </row>
    <row r="1401" spans="2:12" ht="15" customHeight="1" x14ac:dyDescent="0.2">
      <c r="B1401" s="253" t="s">
        <v>3221</v>
      </c>
      <c r="C1401" s="250" t="s">
        <v>235</v>
      </c>
      <c r="D1401" s="250" t="s">
        <v>58</v>
      </c>
      <c r="K1401" s="250">
        <v>0.55000000000000004</v>
      </c>
      <c r="L1401" s="250">
        <v>342</v>
      </c>
    </row>
    <row r="1402" spans="2:12" ht="15" customHeight="1" x14ac:dyDescent="0.2">
      <c r="B1402" s="253" t="s">
        <v>3222</v>
      </c>
      <c r="C1402" s="250" t="s">
        <v>235</v>
      </c>
      <c r="D1402" s="250" t="s">
        <v>58</v>
      </c>
      <c r="K1402" s="250">
        <v>0.55000000000000004</v>
      </c>
      <c r="L1402" s="250">
        <v>367</v>
      </c>
    </row>
    <row r="1403" spans="2:12" ht="15" customHeight="1" x14ac:dyDescent="0.2">
      <c r="B1403" s="253" t="s">
        <v>3223</v>
      </c>
      <c r="C1403" s="250" t="s">
        <v>235</v>
      </c>
      <c r="D1403" s="250" t="s">
        <v>58</v>
      </c>
      <c r="K1403" s="250">
        <v>0.55000000000000004</v>
      </c>
      <c r="L1403" s="250">
        <v>657</v>
      </c>
    </row>
    <row r="1404" spans="2:12" ht="15" customHeight="1" x14ac:dyDescent="0.2">
      <c r="B1404" s="253" t="s">
        <v>3224</v>
      </c>
      <c r="C1404" s="250" t="s">
        <v>235</v>
      </c>
      <c r="D1404" s="250" t="s">
        <v>58</v>
      </c>
      <c r="K1404" s="250">
        <v>0.55000000000000004</v>
      </c>
      <c r="L1404" s="250">
        <v>856</v>
      </c>
    </row>
    <row r="1405" spans="2:12" ht="15" customHeight="1" x14ac:dyDescent="0.2">
      <c r="B1405" s="253" t="s">
        <v>3225</v>
      </c>
      <c r="C1405" s="250" t="s">
        <v>235</v>
      </c>
      <c r="D1405" s="250" t="s">
        <v>58</v>
      </c>
      <c r="K1405" s="250">
        <v>0.55000000000000004</v>
      </c>
      <c r="L1405" s="250">
        <v>1170</v>
      </c>
    </row>
    <row r="1406" spans="2:12" ht="15" customHeight="1" x14ac:dyDescent="0.2">
      <c r="B1406" s="253" t="s">
        <v>3226</v>
      </c>
      <c r="C1406" s="250" t="s">
        <v>235</v>
      </c>
      <c r="D1406" s="250" t="s">
        <v>58</v>
      </c>
      <c r="K1406" s="250">
        <v>0.55000000000000004</v>
      </c>
      <c r="L1406" s="250">
        <v>1603</v>
      </c>
    </row>
    <row r="1407" spans="2:12" ht="15" customHeight="1" x14ac:dyDescent="0.2">
      <c r="B1407" s="253" t="s">
        <v>3227</v>
      </c>
      <c r="C1407" s="250" t="s">
        <v>235</v>
      </c>
      <c r="D1407" s="250" t="s">
        <v>58</v>
      </c>
      <c r="K1407" s="250">
        <v>0.55000000000000004</v>
      </c>
      <c r="L1407" s="250">
        <v>3359</v>
      </c>
    </row>
    <row r="1408" spans="2:12" ht="15" customHeight="1" x14ac:dyDescent="0.2">
      <c r="B1408" s="253" t="s">
        <v>3228</v>
      </c>
      <c r="C1408" s="250" t="s">
        <v>235</v>
      </c>
      <c r="D1408" s="250" t="s">
        <v>58</v>
      </c>
      <c r="K1408" s="250">
        <v>0.55000000000000004</v>
      </c>
      <c r="L1408" s="250">
        <v>4474</v>
      </c>
    </row>
    <row r="1409" spans="1:12" ht="15" customHeight="1" x14ac:dyDescent="0.2">
      <c r="B1409" s="250" t="s">
        <v>694</v>
      </c>
      <c r="C1409" s="250" t="s">
        <v>235</v>
      </c>
      <c r="D1409" s="250" t="s">
        <v>695</v>
      </c>
      <c r="K1409" s="250">
        <v>0.55000000000000004</v>
      </c>
      <c r="L1409" s="250">
        <v>909</v>
      </c>
    </row>
    <row r="1410" spans="1:12" ht="15" customHeight="1" x14ac:dyDescent="0.2">
      <c r="B1410" s="250" t="s">
        <v>696</v>
      </c>
      <c r="C1410" s="250" t="s">
        <v>235</v>
      </c>
      <c r="D1410" s="250" t="s">
        <v>695</v>
      </c>
      <c r="K1410" s="250">
        <v>0.55000000000000004</v>
      </c>
      <c r="L1410" s="250">
        <v>1273</v>
      </c>
    </row>
    <row r="1411" spans="1:12" ht="15" customHeight="1" x14ac:dyDescent="0.2">
      <c r="B1411" s="250" t="s">
        <v>697</v>
      </c>
      <c r="C1411" s="250" t="s">
        <v>235</v>
      </c>
      <c r="D1411" s="250" t="s">
        <v>695</v>
      </c>
      <c r="K1411" s="250">
        <v>0.55000000000000004</v>
      </c>
      <c r="L1411" s="250">
        <v>1455</v>
      </c>
    </row>
    <row r="1412" spans="1:12" ht="15" customHeight="1" x14ac:dyDescent="0.2">
      <c r="B1412" s="250" t="s">
        <v>698</v>
      </c>
      <c r="C1412" s="250" t="s">
        <v>235</v>
      </c>
      <c r="D1412" s="250" t="s">
        <v>695</v>
      </c>
      <c r="K1412" s="250">
        <v>0.55000000000000004</v>
      </c>
      <c r="L1412" s="250">
        <v>1818</v>
      </c>
    </row>
    <row r="1413" spans="1:12" ht="15" customHeight="1" x14ac:dyDescent="0.2">
      <c r="A1413" s="252">
        <v>710314500000025</v>
      </c>
      <c r="B1413" s="253" t="s">
        <v>2508</v>
      </c>
      <c r="C1413" s="250" t="s">
        <v>235</v>
      </c>
      <c r="D1413" s="250" t="s">
        <v>699</v>
      </c>
      <c r="K1413" s="250">
        <v>0.55000000000000004</v>
      </c>
      <c r="L1413" s="250">
        <v>12750</v>
      </c>
    </row>
    <row r="1414" spans="1:12" ht="15" customHeight="1" x14ac:dyDescent="0.2">
      <c r="A1414" s="252">
        <v>710314500000022</v>
      </c>
      <c r="B1414" s="253" t="s">
        <v>2509</v>
      </c>
      <c r="C1414" s="250" t="s">
        <v>235</v>
      </c>
      <c r="D1414" s="250" t="s">
        <v>699</v>
      </c>
      <c r="K1414" s="250">
        <v>0.55000000000000004</v>
      </c>
      <c r="L1414" s="250">
        <v>11300</v>
      </c>
    </row>
    <row r="1415" spans="1:12" ht="15" customHeight="1" x14ac:dyDescent="0.2">
      <c r="A1415" s="252">
        <v>710314500000023</v>
      </c>
      <c r="B1415" s="253" t="s">
        <v>2510</v>
      </c>
      <c r="C1415" s="250" t="s">
        <v>235</v>
      </c>
      <c r="D1415" s="250" t="s">
        <v>699</v>
      </c>
      <c r="K1415" s="250">
        <v>0.55000000000000004</v>
      </c>
      <c r="L1415" s="250">
        <v>11830</v>
      </c>
    </row>
    <row r="1416" spans="1:12" ht="15" customHeight="1" x14ac:dyDescent="0.2">
      <c r="A1416" s="252">
        <v>710314500000024</v>
      </c>
      <c r="B1416" s="253" t="s">
        <v>2511</v>
      </c>
      <c r="C1416" s="250" t="s">
        <v>235</v>
      </c>
      <c r="D1416" s="250" t="s">
        <v>699</v>
      </c>
      <c r="K1416" s="250">
        <v>0.55000000000000004</v>
      </c>
      <c r="L1416" s="250">
        <v>12160</v>
      </c>
    </row>
    <row r="1417" spans="1:12" ht="15" customHeight="1" x14ac:dyDescent="0.2">
      <c r="A1417" s="252">
        <v>710314523010003</v>
      </c>
      <c r="B1417" s="253" t="s">
        <v>2512</v>
      </c>
      <c r="C1417" s="250" t="s">
        <v>235</v>
      </c>
      <c r="D1417" s="250" t="s">
        <v>699</v>
      </c>
      <c r="K1417" s="250">
        <v>0.55000000000000004</v>
      </c>
      <c r="L1417" s="250">
        <v>13030</v>
      </c>
    </row>
    <row r="1418" spans="1:12" ht="15" customHeight="1" x14ac:dyDescent="0.2">
      <c r="A1418" s="252">
        <v>710314523012503</v>
      </c>
      <c r="B1418" s="253" t="s">
        <v>2513</v>
      </c>
      <c r="C1418" s="250" t="s">
        <v>235</v>
      </c>
      <c r="D1418" s="250" t="s">
        <v>699</v>
      </c>
      <c r="K1418" s="250">
        <v>0.55000000000000004</v>
      </c>
      <c r="L1418" s="250">
        <v>13540</v>
      </c>
    </row>
    <row r="1419" spans="1:12" ht="15" customHeight="1" x14ac:dyDescent="0.2">
      <c r="A1419" s="252">
        <v>710314523016003</v>
      </c>
      <c r="B1419" s="253" t="s">
        <v>2514</v>
      </c>
      <c r="C1419" s="250" t="s">
        <v>235</v>
      </c>
      <c r="D1419" s="250" t="s">
        <v>699</v>
      </c>
      <c r="K1419" s="250">
        <v>0.55000000000000004</v>
      </c>
      <c r="L1419" s="250">
        <v>13850</v>
      </c>
    </row>
    <row r="1420" spans="1:12" ht="15" customHeight="1" x14ac:dyDescent="0.2">
      <c r="A1420" s="252">
        <v>710314523020003</v>
      </c>
      <c r="B1420" s="253" t="s">
        <v>2515</v>
      </c>
      <c r="C1420" s="250" t="s">
        <v>235</v>
      </c>
      <c r="D1420" s="250" t="s">
        <v>699</v>
      </c>
      <c r="K1420" s="250">
        <v>0.55000000000000004</v>
      </c>
      <c r="L1420" s="250">
        <v>17550</v>
      </c>
    </row>
    <row r="1421" spans="1:12" ht="15" customHeight="1" x14ac:dyDescent="0.2">
      <c r="A1421" s="252">
        <v>710314523006303</v>
      </c>
      <c r="B1421" s="253" t="s">
        <v>2516</v>
      </c>
      <c r="C1421" s="250" t="s">
        <v>235</v>
      </c>
      <c r="D1421" s="250" t="s">
        <v>699</v>
      </c>
      <c r="K1421" s="250">
        <v>0.55000000000000004</v>
      </c>
      <c r="L1421" s="250">
        <v>12120</v>
      </c>
    </row>
    <row r="1422" spans="1:12" ht="15" customHeight="1" x14ac:dyDescent="0.2">
      <c r="A1422" s="252">
        <v>710314523008003</v>
      </c>
      <c r="B1422" s="253" t="s">
        <v>2517</v>
      </c>
      <c r="C1422" s="250" t="s">
        <v>235</v>
      </c>
      <c r="D1422" s="250" t="s">
        <v>699</v>
      </c>
      <c r="K1422" s="250">
        <v>0.55000000000000004</v>
      </c>
      <c r="L1422" s="250">
        <v>12540</v>
      </c>
    </row>
    <row r="1423" spans="1:12" ht="15" customHeight="1" x14ac:dyDescent="0.2">
      <c r="A1423" s="252">
        <v>710314563025003</v>
      </c>
      <c r="B1423" s="253" t="s">
        <v>2518</v>
      </c>
      <c r="C1423" s="250" t="s">
        <v>235</v>
      </c>
      <c r="D1423" s="250" t="s">
        <v>699</v>
      </c>
      <c r="K1423" s="250">
        <v>0.55000000000000004</v>
      </c>
      <c r="L1423" s="250">
        <v>22760</v>
      </c>
    </row>
    <row r="1424" spans="1:12" ht="15" customHeight="1" x14ac:dyDescent="0.2">
      <c r="A1424" s="252">
        <v>710314563032003</v>
      </c>
      <c r="B1424" s="253" t="s">
        <v>2519</v>
      </c>
      <c r="C1424" s="250" t="s">
        <v>235</v>
      </c>
      <c r="D1424" s="250" t="s">
        <v>699</v>
      </c>
      <c r="K1424" s="250">
        <v>0.55000000000000004</v>
      </c>
      <c r="L1424" s="250">
        <v>27080</v>
      </c>
    </row>
    <row r="1425" spans="1:12" ht="15" customHeight="1" x14ac:dyDescent="0.2">
      <c r="A1425" s="252">
        <v>710314523040003</v>
      </c>
      <c r="B1425" s="253" t="s">
        <v>2520</v>
      </c>
      <c r="C1425" s="250" t="s">
        <v>235</v>
      </c>
      <c r="D1425" s="250" t="s">
        <v>699</v>
      </c>
      <c r="K1425" s="250">
        <v>0.55000000000000004</v>
      </c>
      <c r="L1425" s="250">
        <v>44010</v>
      </c>
    </row>
    <row r="1426" spans="1:12" ht="15" customHeight="1" x14ac:dyDescent="0.2">
      <c r="A1426" s="252">
        <v>710314500000035</v>
      </c>
      <c r="B1426" s="253" t="s">
        <v>2521</v>
      </c>
      <c r="C1426" s="250" t="s">
        <v>235</v>
      </c>
      <c r="D1426" s="250" t="s">
        <v>699</v>
      </c>
      <c r="K1426" s="250">
        <v>0.55000000000000004</v>
      </c>
      <c r="L1426" s="250">
        <v>10970</v>
      </c>
    </row>
    <row r="1427" spans="1:12" ht="15" customHeight="1" x14ac:dyDescent="0.2">
      <c r="A1427" s="252">
        <v>710314500000034</v>
      </c>
      <c r="B1427" s="253" t="s">
        <v>2522</v>
      </c>
      <c r="C1427" s="250" t="s">
        <v>235</v>
      </c>
      <c r="D1427" s="250" t="s">
        <v>699</v>
      </c>
      <c r="K1427" s="250">
        <v>0.55000000000000004</v>
      </c>
      <c r="L1427" s="250">
        <v>10390</v>
      </c>
    </row>
    <row r="1428" spans="1:12" ht="15" customHeight="1" x14ac:dyDescent="0.2">
      <c r="A1428" s="252">
        <v>710314500000033</v>
      </c>
      <c r="B1428" s="253" t="s">
        <v>2523</v>
      </c>
      <c r="C1428" s="250" t="s">
        <v>235</v>
      </c>
      <c r="D1428" s="250" t="s">
        <v>699</v>
      </c>
      <c r="K1428" s="250">
        <v>0.55000000000000004</v>
      </c>
      <c r="L1428" s="250">
        <v>10140</v>
      </c>
    </row>
    <row r="1429" spans="1:12" ht="15" customHeight="1" x14ac:dyDescent="0.2">
      <c r="A1429" s="252">
        <v>710314500000032</v>
      </c>
      <c r="B1429" s="253" t="s">
        <v>2524</v>
      </c>
      <c r="C1429" s="250" t="s">
        <v>235</v>
      </c>
      <c r="D1429" s="250" t="s">
        <v>699</v>
      </c>
      <c r="K1429" s="250">
        <v>0.55000000000000004</v>
      </c>
      <c r="L1429" s="250">
        <v>9620</v>
      </c>
    </row>
    <row r="1430" spans="1:12" ht="15" customHeight="1" x14ac:dyDescent="0.2">
      <c r="A1430" s="252">
        <v>710314513010003</v>
      </c>
      <c r="B1430" s="253" t="s">
        <v>2525</v>
      </c>
      <c r="C1430" s="250" t="s">
        <v>235</v>
      </c>
      <c r="D1430" s="250" t="s">
        <v>699</v>
      </c>
      <c r="K1430" s="250">
        <v>0.55000000000000004</v>
      </c>
      <c r="L1430" s="250">
        <v>11630</v>
      </c>
    </row>
    <row r="1431" spans="1:12" ht="15" customHeight="1" x14ac:dyDescent="0.2">
      <c r="A1431" s="252">
        <v>710314513012503</v>
      </c>
      <c r="B1431" s="253" t="s">
        <v>2526</v>
      </c>
      <c r="C1431" s="250" t="s">
        <v>235</v>
      </c>
      <c r="D1431" s="250" t="s">
        <v>699</v>
      </c>
      <c r="K1431" s="250">
        <v>0.55000000000000004</v>
      </c>
      <c r="L1431" s="250">
        <v>12120</v>
      </c>
    </row>
    <row r="1432" spans="1:12" ht="15" customHeight="1" x14ac:dyDescent="0.2">
      <c r="A1432" s="252">
        <v>710314513016003</v>
      </c>
      <c r="B1432" s="253" t="s">
        <v>2527</v>
      </c>
      <c r="C1432" s="250" t="s">
        <v>235</v>
      </c>
      <c r="D1432" s="250" t="s">
        <v>699</v>
      </c>
      <c r="K1432" s="250">
        <v>0.55000000000000004</v>
      </c>
      <c r="L1432" s="250">
        <v>12740</v>
      </c>
    </row>
    <row r="1433" spans="1:12" ht="15" customHeight="1" x14ac:dyDescent="0.2">
      <c r="A1433" s="252">
        <v>710314513020003</v>
      </c>
      <c r="B1433" s="253" t="s">
        <v>2528</v>
      </c>
      <c r="C1433" s="250" t="s">
        <v>235</v>
      </c>
      <c r="D1433" s="250" t="s">
        <v>699</v>
      </c>
      <c r="K1433" s="250">
        <v>0.55000000000000004</v>
      </c>
      <c r="L1433" s="250">
        <v>15840</v>
      </c>
    </row>
    <row r="1434" spans="1:12" ht="15" customHeight="1" x14ac:dyDescent="0.2">
      <c r="A1434" s="252">
        <v>710314513006303</v>
      </c>
      <c r="B1434" s="253" t="s">
        <v>2529</v>
      </c>
      <c r="C1434" s="250" t="s">
        <v>235</v>
      </c>
      <c r="D1434" s="250" t="s">
        <v>699</v>
      </c>
      <c r="K1434" s="250">
        <v>0.55000000000000004</v>
      </c>
      <c r="L1434" s="250">
        <v>10550</v>
      </c>
    </row>
    <row r="1435" spans="1:12" ht="15" customHeight="1" x14ac:dyDescent="0.2">
      <c r="A1435" s="252">
        <v>710314513008003</v>
      </c>
      <c r="B1435" s="253" t="s">
        <v>2530</v>
      </c>
      <c r="C1435" s="250" t="s">
        <v>235</v>
      </c>
      <c r="D1435" s="250" t="s">
        <v>699</v>
      </c>
      <c r="K1435" s="250">
        <v>0.55000000000000004</v>
      </c>
      <c r="L1435" s="250">
        <v>10930</v>
      </c>
    </row>
    <row r="1436" spans="1:12" ht="15" customHeight="1" x14ac:dyDescent="0.2">
      <c r="A1436" s="252">
        <v>710314553025003</v>
      </c>
      <c r="B1436" s="253" t="s">
        <v>2531</v>
      </c>
      <c r="C1436" s="250" t="s">
        <v>235</v>
      </c>
      <c r="D1436" s="250" t="s">
        <v>699</v>
      </c>
      <c r="K1436" s="250">
        <v>0.55000000000000004</v>
      </c>
      <c r="L1436" s="250">
        <v>19640</v>
      </c>
    </row>
    <row r="1437" spans="1:12" ht="15" customHeight="1" x14ac:dyDescent="0.2">
      <c r="A1437" s="252">
        <v>710314553032003</v>
      </c>
      <c r="B1437" s="253" t="s">
        <v>2532</v>
      </c>
      <c r="C1437" s="250" t="s">
        <v>235</v>
      </c>
      <c r="D1437" s="250" t="s">
        <v>699</v>
      </c>
      <c r="K1437" s="250">
        <v>0.55000000000000004</v>
      </c>
      <c r="L1437" s="250">
        <v>23570</v>
      </c>
    </row>
    <row r="1438" spans="1:12" ht="15" customHeight="1" x14ac:dyDescent="0.2">
      <c r="A1438" s="252">
        <v>710314513040003</v>
      </c>
      <c r="B1438" s="253" t="s">
        <v>2533</v>
      </c>
      <c r="C1438" s="250" t="s">
        <v>235</v>
      </c>
      <c r="D1438" s="250" t="s">
        <v>699</v>
      </c>
      <c r="K1438" s="250">
        <v>0.55000000000000004</v>
      </c>
      <c r="L1438" s="250">
        <v>39190</v>
      </c>
    </row>
    <row r="1439" spans="1:12" ht="15" customHeight="1" x14ac:dyDescent="0.2">
      <c r="A1439" s="252">
        <v>710050300000803</v>
      </c>
      <c r="B1439" s="253" t="s">
        <v>700</v>
      </c>
      <c r="C1439" s="250" t="s">
        <v>235</v>
      </c>
      <c r="D1439" s="250" t="s">
        <v>69</v>
      </c>
      <c r="K1439" s="250">
        <v>0.55000000000000004</v>
      </c>
      <c r="L1439" s="250">
        <v>9.76</v>
      </c>
    </row>
    <row r="1440" spans="1:12" ht="15" customHeight="1" x14ac:dyDescent="0.2">
      <c r="B1440" s="253" t="s">
        <v>4172</v>
      </c>
      <c r="C1440" s="250" t="s">
        <v>235</v>
      </c>
      <c r="D1440" s="250" t="s">
        <v>701</v>
      </c>
      <c r="K1440" s="250">
        <v>0.55000000000000004</v>
      </c>
      <c r="L1440" s="250">
        <v>21.5</v>
      </c>
    </row>
    <row r="1441" spans="1:14" ht="15" customHeight="1" x14ac:dyDescent="0.2">
      <c r="A1441" s="252">
        <v>710301100000089</v>
      </c>
      <c r="B1441" s="253" t="s">
        <v>702</v>
      </c>
      <c r="C1441" s="250" t="s">
        <v>235</v>
      </c>
      <c r="D1441" s="250" t="s">
        <v>607</v>
      </c>
      <c r="K1441" s="250">
        <v>0.55000000000000004</v>
      </c>
      <c r="L1441" s="250">
        <v>790</v>
      </c>
    </row>
    <row r="1442" spans="1:14" ht="15" customHeight="1" x14ac:dyDescent="0.2">
      <c r="A1442" s="252">
        <v>710301100000109</v>
      </c>
      <c r="B1442" s="253" t="s">
        <v>704</v>
      </c>
      <c r="C1442" s="250" t="s">
        <v>235</v>
      </c>
      <c r="D1442" s="250" t="s">
        <v>607</v>
      </c>
      <c r="K1442" s="250">
        <v>0.55000000000000004</v>
      </c>
      <c r="L1442" s="250">
        <v>915</v>
      </c>
    </row>
    <row r="1443" spans="1:14" ht="15" customHeight="1" x14ac:dyDescent="0.2">
      <c r="A1443" s="252">
        <v>710301100000319</v>
      </c>
      <c r="B1443" s="253" t="s">
        <v>706</v>
      </c>
      <c r="C1443" s="250" t="s">
        <v>235</v>
      </c>
      <c r="D1443" s="250" t="s">
        <v>607</v>
      </c>
      <c r="K1443" s="250">
        <v>0.55000000000000004</v>
      </c>
      <c r="L1443" s="250">
        <v>1816</v>
      </c>
    </row>
    <row r="1444" spans="1:14" ht="15" customHeight="1" x14ac:dyDescent="0.2">
      <c r="A1444" s="252">
        <v>710301100000112</v>
      </c>
      <c r="B1444" s="253" t="s">
        <v>707</v>
      </c>
      <c r="C1444" s="250" t="s">
        <v>235</v>
      </c>
      <c r="D1444" s="250" t="s">
        <v>607</v>
      </c>
      <c r="K1444" s="250">
        <v>0.55000000000000004</v>
      </c>
      <c r="L1444" s="250">
        <v>2740</v>
      </c>
    </row>
    <row r="1445" spans="1:14" ht="15" customHeight="1" x14ac:dyDescent="0.2">
      <c r="A1445" s="252">
        <v>710301100001209</v>
      </c>
      <c r="B1445" s="253" t="s">
        <v>708</v>
      </c>
      <c r="C1445" s="250" t="s">
        <v>235</v>
      </c>
      <c r="D1445" s="250" t="s">
        <v>607</v>
      </c>
      <c r="K1445" s="250">
        <v>0.55000000000000004</v>
      </c>
      <c r="L1445" s="250">
        <v>3130</v>
      </c>
    </row>
    <row r="1446" spans="1:14" ht="15" customHeight="1" x14ac:dyDescent="0.2">
      <c r="A1446" s="252">
        <v>710301100002797</v>
      </c>
      <c r="B1446" s="253" t="s">
        <v>703</v>
      </c>
      <c r="C1446" s="250" t="s">
        <v>235</v>
      </c>
      <c r="D1446" s="250" t="s">
        <v>607</v>
      </c>
      <c r="K1446" s="250">
        <v>0.55000000000000004</v>
      </c>
      <c r="L1446" s="250">
        <v>846</v>
      </c>
    </row>
    <row r="1447" spans="1:14" ht="15" customHeight="1" x14ac:dyDescent="0.2">
      <c r="A1447" s="252">
        <v>710301100002847</v>
      </c>
      <c r="B1447" s="253" t="s">
        <v>705</v>
      </c>
      <c r="C1447" s="250" t="s">
        <v>235</v>
      </c>
      <c r="D1447" s="250" t="s">
        <v>607</v>
      </c>
      <c r="K1447" s="250">
        <v>0.55000000000000004</v>
      </c>
      <c r="L1447" s="250">
        <v>973</v>
      </c>
    </row>
    <row r="1448" spans="1:14" ht="15" customHeight="1" x14ac:dyDescent="0.2">
      <c r="A1448" s="252">
        <v>710301100002847</v>
      </c>
      <c r="B1448" s="253" t="s">
        <v>4173</v>
      </c>
      <c r="C1448" s="250" t="s">
        <v>235</v>
      </c>
      <c r="D1448" s="250" t="s">
        <v>607</v>
      </c>
      <c r="K1448" s="250">
        <v>0.55000000000000004</v>
      </c>
      <c r="L1448" s="250">
        <v>1938</v>
      </c>
    </row>
    <row r="1449" spans="1:14" ht="15" customHeight="1" x14ac:dyDescent="0.2">
      <c r="A1449" s="252">
        <v>780013200000076</v>
      </c>
      <c r="B1449" s="253" t="s">
        <v>709</v>
      </c>
      <c r="C1449" s="250" t="s">
        <v>235</v>
      </c>
      <c r="D1449" s="250" t="s">
        <v>114</v>
      </c>
      <c r="K1449" s="250">
        <v>0.55000000000000004</v>
      </c>
      <c r="L1449" s="250">
        <v>803</v>
      </c>
    </row>
    <row r="1450" spans="1:14" ht="15" customHeight="1" x14ac:dyDescent="0.2">
      <c r="A1450" s="252">
        <v>780010100000608</v>
      </c>
      <c r="B1450" s="253" t="s">
        <v>710</v>
      </c>
      <c r="C1450" s="250" t="s">
        <v>235</v>
      </c>
      <c r="D1450" s="250" t="s">
        <v>114</v>
      </c>
      <c r="K1450" s="250">
        <v>0.55000000000000004</v>
      </c>
      <c r="L1450" s="250">
        <v>512</v>
      </c>
    </row>
    <row r="1451" spans="1:14" ht="15" customHeight="1" x14ac:dyDescent="0.2">
      <c r="A1451" s="252">
        <v>780010100000606</v>
      </c>
      <c r="B1451" s="253" t="s">
        <v>711</v>
      </c>
      <c r="C1451" s="250" t="s">
        <v>235</v>
      </c>
      <c r="D1451" s="250" t="s">
        <v>114</v>
      </c>
      <c r="K1451" s="250">
        <v>0.55000000000000004</v>
      </c>
      <c r="L1451" s="250">
        <v>101</v>
      </c>
    </row>
    <row r="1452" spans="1:14" ht="15" customHeight="1" x14ac:dyDescent="0.2">
      <c r="A1452" s="252">
        <v>780010100000605</v>
      </c>
      <c r="B1452" s="253" t="s">
        <v>712</v>
      </c>
      <c r="C1452" s="250" t="s">
        <v>235</v>
      </c>
      <c r="D1452" s="250" t="s">
        <v>114</v>
      </c>
      <c r="K1452" s="250">
        <v>0.55000000000000004</v>
      </c>
      <c r="L1452" s="250">
        <v>83</v>
      </c>
    </row>
    <row r="1453" spans="1:14" ht="15" customHeight="1" x14ac:dyDescent="0.2">
      <c r="A1453" s="252">
        <v>780013200000035</v>
      </c>
      <c r="B1453" s="253" t="s">
        <v>334</v>
      </c>
      <c r="C1453" s="250" t="s">
        <v>235</v>
      </c>
      <c r="D1453" s="250" t="s">
        <v>114</v>
      </c>
      <c r="K1453" s="250">
        <v>0.55000000000000004</v>
      </c>
      <c r="L1453" s="250">
        <v>212</v>
      </c>
    </row>
    <row r="1454" spans="1:14" ht="15" customHeight="1" x14ac:dyDescent="0.2">
      <c r="A1454" s="252">
        <v>780011400000230</v>
      </c>
      <c r="B1454" s="253" t="s">
        <v>335</v>
      </c>
      <c r="C1454" s="250" t="s">
        <v>235</v>
      </c>
      <c r="D1454" s="250" t="s">
        <v>114</v>
      </c>
      <c r="K1454" s="250">
        <v>0.55000000000000004</v>
      </c>
      <c r="L1454" s="250">
        <v>296</v>
      </c>
    </row>
    <row r="1455" spans="1:14" ht="15" customHeight="1" x14ac:dyDescent="0.2">
      <c r="B1455" s="253" t="s">
        <v>1933</v>
      </c>
      <c r="C1455" s="250" t="s">
        <v>235</v>
      </c>
      <c r="D1455" s="250" t="s">
        <v>369</v>
      </c>
      <c r="K1455" s="250">
        <v>0.55000000000000004</v>
      </c>
      <c r="L1455" s="250">
        <v>10.55</v>
      </c>
      <c r="N1455" s="250">
        <v>1</v>
      </c>
    </row>
    <row r="1456" spans="1:14" ht="15" customHeight="1" x14ac:dyDescent="0.2">
      <c r="B1456" s="253" t="s">
        <v>1934</v>
      </c>
      <c r="C1456" s="250" t="s">
        <v>235</v>
      </c>
      <c r="D1456" s="250" t="s">
        <v>369</v>
      </c>
      <c r="K1456" s="250">
        <v>0.55000000000000004</v>
      </c>
      <c r="L1456" s="250">
        <v>10.55</v>
      </c>
      <c r="N1456" s="250">
        <v>1</v>
      </c>
    </row>
    <row r="1457" spans="2:14" ht="15" customHeight="1" x14ac:dyDescent="0.2">
      <c r="B1457" s="253" t="s">
        <v>1935</v>
      </c>
      <c r="C1457" s="250" t="s">
        <v>235</v>
      </c>
      <c r="D1457" s="250" t="s">
        <v>369</v>
      </c>
      <c r="K1457" s="250">
        <v>0.55000000000000004</v>
      </c>
      <c r="L1457" s="250">
        <v>10.55</v>
      </c>
      <c r="N1457" s="250">
        <v>1</v>
      </c>
    </row>
    <row r="1458" spans="2:14" ht="15" customHeight="1" x14ac:dyDescent="0.2">
      <c r="B1458" s="253" t="s">
        <v>1936</v>
      </c>
      <c r="C1458" s="250" t="s">
        <v>235</v>
      </c>
      <c r="D1458" s="250" t="s">
        <v>369</v>
      </c>
      <c r="K1458" s="250">
        <v>0.55000000000000004</v>
      </c>
      <c r="L1458" s="250">
        <v>10.55</v>
      </c>
      <c r="N1458" s="250">
        <v>1</v>
      </c>
    </row>
    <row r="1459" spans="2:14" ht="15" customHeight="1" x14ac:dyDescent="0.2">
      <c r="B1459" s="253" t="s">
        <v>1937</v>
      </c>
      <c r="C1459" s="250" t="s">
        <v>235</v>
      </c>
      <c r="D1459" s="250" t="s">
        <v>369</v>
      </c>
      <c r="K1459" s="250">
        <v>0.55000000000000004</v>
      </c>
      <c r="L1459" s="250">
        <v>10.55</v>
      </c>
      <c r="N1459" s="250">
        <v>1</v>
      </c>
    </row>
    <row r="1460" spans="2:14" ht="15" customHeight="1" x14ac:dyDescent="0.2">
      <c r="B1460" s="253" t="s">
        <v>1938</v>
      </c>
      <c r="C1460" s="250" t="s">
        <v>235</v>
      </c>
      <c r="D1460" s="250" t="s">
        <v>369</v>
      </c>
      <c r="K1460" s="250">
        <v>0.55000000000000004</v>
      </c>
      <c r="L1460" s="250">
        <v>11.91</v>
      </c>
      <c r="N1460" s="250">
        <v>1</v>
      </c>
    </row>
    <row r="1461" spans="2:14" ht="15" customHeight="1" x14ac:dyDescent="0.2">
      <c r="B1461" s="253" t="s">
        <v>1939</v>
      </c>
      <c r="C1461" s="250" t="s">
        <v>235</v>
      </c>
      <c r="D1461" s="250" t="s">
        <v>369</v>
      </c>
      <c r="K1461" s="250">
        <v>0.55000000000000004</v>
      </c>
      <c r="L1461" s="250">
        <v>12.37</v>
      </c>
      <c r="N1461" s="250">
        <v>1</v>
      </c>
    </row>
    <row r="1462" spans="2:14" ht="15" customHeight="1" x14ac:dyDescent="0.2">
      <c r="B1462" s="253" t="s">
        <v>1940</v>
      </c>
      <c r="C1462" s="250" t="s">
        <v>235</v>
      </c>
      <c r="D1462" s="250" t="s">
        <v>369</v>
      </c>
      <c r="K1462" s="250">
        <v>0.55000000000000004</v>
      </c>
      <c r="L1462" s="250">
        <v>11.5</v>
      </c>
      <c r="N1462" s="250">
        <v>1</v>
      </c>
    </row>
    <row r="1463" spans="2:14" ht="15" customHeight="1" x14ac:dyDescent="0.2">
      <c r="B1463" s="253" t="s">
        <v>1941</v>
      </c>
      <c r="C1463" s="250" t="s">
        <v>235</v>
      </c>
      <c r="D1463" s="250" t="s">
        <v>369</v>
      </c>
      <c r="K1463" s="250">
        <v>0.55000000000000004</v>
      </c>
      <c r="L1463" s="250">
        <v>12.37</v>
      </c>
      <c r="N1463" s="250">
        <v>1</v>
      </c>
    </row>
    <row r="1464" spans="2:14" ht="15" customHeight="1" x14ac:dyDescent="0.2">
      <c r="B1464" s="253" t="s">
        <v>1942</v>
      </c>
      <c r="C1464" s="250" t="s">
        <v>235</v>
      </c>
      <c r="D1464" s="250" t="s">
        <v>369</v>
      </c>
      <c r="K1464" s="250">
        <v>0.55000000000000004</v>
      </c>
      <c r="L1464" s="250">
        <v>11.78</v>
      </c>
      <c r="N1464" s="250">
        <v>1</v>
      </c>
    </row>
    <row r="1465" spans="2:14" ht="15" customHeight="1" x14ac:dyDescent="0.2">
      <c r="B1465" s="253" t="s">
        <v>1943</v>
      </c>
      <c r="C1465" s="250" t="s">
        <v>235</v>
      </c>
      <c r="D1465" s="250" t="s">
        <v>369</v>
      </c>
      <c r="K1465" s="250">
        <v>0.55000000000000004</v>
      </c>
      <c r="L1465" s="250">
        <v>11.78</v>
      </c>
      <c r="N1465" s="250">
        <v>1</v>
      </c>
    </row>
    <row r="1466" spans="2:14" ht="15" customHeight="1" x14ac:dyDescent="0.2">
      <c r="B1466" s="253" t="s">
        <v>1944</v>
      </c>
      <c r="C1466" s="250" t="s">
        <v>235</v>
      </c>
      <c r="D1466" s="250" t="s">
        <v>369</v>
      </c>
      <c r="K1466" s="250">
        <v>0.55000000000000004</v>
      </c>
      <c r="L1466" s="250">
        <v>11.78</v>
      </c>
      <c r="N1466" s="250">
        <v>1</v>
      </c>
    </row>
    <row r="1467" spans="2:14" ht="15" customHeight="1" x14ac:dyDescent="0.2">
      <c r="B1467" s="253" t="s">
        <v>1945</v>
      </c>
      <c r="C1467" s="250" t="s">
        <v>235</v>
      </c>
      <c r="D1467" s="250" t="s">
        <v>369</v>
      </c>
      <c r="K1467" s="250">
        <v>0.55000000000000004</v>
      </c>
      <c r="L1467" s="250">
        <v>11.78</v>
      </c>
      <c r="N1467" s="250">
        <v>1</v>
      </c>
    </row>
    <row r="1468" spans="2:14" ht="15" customHeight="1" x14ac:dyDescent="0.2">
      <c r="B1468" s="253" t="s">
        <v>1946</v>
      </c>
      <c r="C1468" s="250" t="s">
        <v>235</v>
      </c>
      <c r="D1468" s="250" t="s">
        <v>369</v>
      </c>
      <c r="K1468" s="250">
        <v>0.55000000000000004</v>
      </c>
      <c r="L1468" s="250">
        <v>11.78</v>
      </c>
      <c r="N1468" s="250">
        <v>1</v>
      </c>
    </row>
    <row r="1469" spans="2:14" ht="15" customHeight="1" x14ac:dyDescent="0.2">
      <c r="B1469" s="253" t="s">
        <v>1947</v>
      </c>
      <c r="C1469" s="250" t="s">
        <v>235</v>
      </c>
      <c r="D1469" s="250" t="s">
        <v>369</v>
      </c>
      <c r="K1469" s="250">
        <v>0.55000000000000004</v>
      </c>
      <c r="L1469" s="250">
        <v>13.3</v>
      </c>
      <c r="N1469" s="250">
        <v>1</v>
      </c>
    </row>
    <row r="1470" spans="2:14" ht="15" customHeight="1" x14ac:dyDescent="0.2">
      <c r="B1470" s="253" t="s">
        <v>1948</v>
      </c>
      <c r="C1470" s="250" t="s">
        <v>235</v>
      </c>
      <c r="D1470" s="250" t="s">
        <v>369</v>
      </c>
      <c r="K1470" s="250">
        <v>0.55000000000000004</v>
      </c>
      <c r="L1470" s="250">
        <v>13.81</v>
      </c>
      <c r="N1470" s="250">
        <v>1</v>
      </c>
    </row>
    <row r="1471" spans="2:14" ht="15" customHeight="1" x14ac:dyDescent="0.2">
      <c r="B1471" s="253" t="s">
        <v>1949</v>
      </c>
      <c r="C1471" s="250" t="s">
        <v>235</v>
      </c>
      <c r="D1471" s="250" t="s">
        <v>369</v>
      </c>
      <c r="K1471" s="250">
        <v>0.55000000000000004</v>
      </c>
      <c r="L1471" s="250">
        <v>12.78</v>
      </c>
      <c r="N1471" s="250">
        <v>1</v>
      </c>
    </row>
    <row r="1472" spans="2:14" ht="15" customHeight="1" x14ac:dyDescent="0.2">
      <c r="B1472" s="253" t="s">
        <v>1950</v>
      </c>
      <c r="C1472" s="250" t="s">
        <v>235</v>
      </c>
      <c r="D1472" s="250" t="s">
        <v>369</v>
      </c>
      <c r="K1472" s="250">
        <v>0.55000000000000004</v>
      </c>
      <c r="L1472" s="250">
        <v>13.81</v>
      </c>
      <c r="N1472" s="250">
        <v>1</v>
      </c>
    </row>
    <row r="1473" spans="2:14" ht="15" customHeight="1" x14ac:dyDescent="0.2">
      <c r="B1473" s="253" t="s">
        <v>2366</v>
      </c>
      <c r="C1473" s="250" t="s">
        <v>235</v>
      </c>
      <c r="D1473" s="250" t="s">
        <v>369</v>
      </c>
      <c r="K1473" s="250">
        <v>0.55000000000000004</v>
      </c>
      <c r="L1473" s="250">
        <v>19.28</v>
      </c>
      <c r="N1473" s="250">
        <v>1</v>
      </c>
    </row>
    <row r="1474" spans="2:14" ht="15" customHeight="1" x14ac:dyDescent="0.2">
      <c r="B1474" s="253" t="s">
        <v>2367</v>
      </c>
      <c r="C1474" s="250" t="s">
        <v>235</v>
      </c>
      <c r="D1474" s="250" t="s">
        <v>369</v>
      </c>
      <c r="K1474" s="250">
        <v>0.55000000000000004</v>
      </c>
      <c r="L1474" s="250">
        <v>19.28</v>
      </c>
      <c r="N1474" s="250">
        <v>1</v>
      </c>
    </row>
    <row r="1475" spans="2:14" ht="15" customHeight="1" x14ac:dyDescent="0.2">
      <c r="B1475" s="253" t="s">
        <v>2368</v>
      </c>
      <c r="C1475" s="250" t="s">
        <v>235</v>
      </c>
      <c r="D1475" s="250" t="s">
        <v>369</v>
      </c>
      <c r="K1475" s="250">
        <v>0.55000000000000004</v>
      </c>
      <c r="L1475" s="250">
        <v>19.28</v>
      </c>
      <c r="N1475" s="250">
        <v>1</v>
      </c>
    </row>
    <row r="1476" spans="2:14" ht="15" customHeight="1" x14ac:dyDescent="0.2">
      <c r="B1476" s="253" t="s">
        <v>2369</v>
      </c>
      <c r="C1476" s="250" t="s">
        <v>235</v>
      </c>
      <c r="D1476" s="250" t="s">
        <v>369</v>
      </c>
      <c r="K1476" s="250">
        <v>0.55000000000000004</v>
      </c>
      <c r="L1476" s="250">
        <v>19.28</v>
      </c>
      <c r="N1476" s="250">
        <v>1</v>
      </c>
    </row>
    <row r="1477" spans="2:14" ht="15" customHeight="1" x14ac:dyDescent="0.2">
      <c r="B1477" s="253" t="s">
        <v>2370</v>
      </c>
      <c r="C1477" s="250" t="s">
        <v>235</v>
      </c>
      <c r="D1477" s="250" t="s">
        <v>369</v>
      </c>
      <c r="K1477" s="250">
        <v>0.55000000000000004</v>
      </c>
      <c r="L1477" s="250">
        <v>19.28</v>
      </c>
      <c r="N1477" s="250">
        <v>1</v>
      </c>
    </row>
    <row r="1478" spans="2:14" ht="15" customHeight="1" x14ac:dyDescent="0.2">
      <c r="B1478" s="253" t="s">
        <v>2371</v>
      </c>
      <c r="C1478" s="250" t="s">
        <v>235</v>
      </c>
      <c r="D1478" s="250" t="s">
        <v>369</v>
      </c>
      <c r="K1478" s="250">
        <v>0.55000000000000004</v>
      </c>
      <c r="L1478" s="250">
        <v>21.79</v>
      </c>
      <c r="N1478" s="250">
        <v>1</v>
      </c>
    </row>
    <row r="1479" spans="2:14" ht="15" customHeight="1" x14ac:dyDescent="0.2">
      <c r="B1479" s="253" t="s">
        <v>2372</v>
      </c>
      <c r="C1479" s="250" t="s">
        <v>235</v>
      </c>
      <c r="D1479" s="250" t="s">
        <v>369</v>
      </c>
      <c r="K1479" s="250">
        <v>0.55000000000000004</v>
      </c>
      <c r="L1479" s="250">
        <v>22.63</v>
      </c>
      <c r="N1479" s="250">
        <v>1</v>
      </c>
    </row>
    <row r="1480" spans="2:14" ht="15" customHeight="1" x14ac:dyDescent="0.2">
      <c r="B1480" s="253" t="s">
        <v>2373</v>
      </c>
      <c r="C1480" s="250" t="s">
        <v>235</v>
      </c>
      <c r="D1480" s="250" t="s">
        <v>369</v>
      </c>
      <c r="K1480" s="250">
        <v>0.55000000000000004</v>
      </c>
      <c r="L1480" s="250">
        <v>22.17</v>
      </c>
      <c r="N1480" s="250">
        <v>1</v>
      </c>
    </row>
    <row r="1481" spans="2:14" ht="15" customHeight="1" x14ac:dyDescent="0.2">
      <c r="B1481" s="253" t="s">
        <v>2374</v>
      </c>
      <c r="C1481" s="250" t="s">
        <v>235</v>
      </c>
      <c r="D1481" s="250" t="s">
        <v>369</v>
      </c>
      <c r="K1481" s="250">
        <v>0.55000000000000004</v>
      </c>
      <c r="L1481" s="250">
        <v>22.63</v>
      </c>
      <c r="N1481" s="250">
        <v>1</v>
      </c>
    </row>
    <row r="1482" spans="2:14" ht="15" customHeight="1" x14ac:dyDescent="0.2">
      <c r="B1482" s="253" t="s">
        <v>2375</v>
      </c>
      <c r="C1482" s="250" t="s">
        <v>235</v>
      </c>
      <c r="D1482" s="250" t="s">
        <v>369</v>
      </c>
      <c r="K1482" s="250">
        <v>0.55000000000000004</v>
      </c>
      <c r="L1482" s="250">
        <v>20.260000000000002</v>
      </c>
      <c r="N1482" s="250">
        <v>1</v>
      </c>
    </row>
    <row r="1483" spans="2:14" ht="15" customHeight="1" x14ac:dyDescent="0.2">
      <c r="B1483" s="253" t="s">
        <v>2376</v>
      </c>
      <c r="C1483" s="250" t="s">
        <v>235</v>
      </c>
      <c r="D1483" s="250" t="s">
        <v>369</v>
      </c>
      <c r="K1483" s="250">
        <v>0.55000000000000004</v>
      </c>
      <c r="L1483" s="250">
        <v>20.260000000000002</v>
      </c>
      <c r="N1483" s="250">
        <v>1</v>
      </c>
    </row>
    <row r="1484" spans="2:14" ht="15" customHeight="1" x14ac:dyDescent="0.2">
      <c r="B1484" s="253" t="s">
        <v>2377</v>
      </c>
      <c r="C1484" s="250" t="s">
        <v>235</v>
      </c>
      <c r="D1484" s="250" t="s">
        <v>369</v>
      </c>
      <c r="K1484" s="250">
        <v>0.55000000000000004</v>
      </c>
      <c r="L1484" s="250">
        <v>20.260000000000002</v>
      </c>
      <c r="N1484" s="250">
        <v>1</v>
      </c>
    </row>
    <row r="1485" spans="2:14" ht="15" customHeight="1" x14ac:dyDescent="0.2">
      <c r="B1485" s="253" t="s">
        <v>2378</v>
      </c>
      <c r="C1485" s="250" t="s">
        <v>235</v>
      </c>
      <c r="D1485" s="250" t="s">
        <v>369</v>
      </c>
      <c r="K1485" s="250">
        <v>0.55000000000000004</v>
      </c>
      <c r="L1485" s="250">
        <v>20.260000000000002</v>
      </c>
      <c r="N1485" s="250">
        <v>1</v>
      </c>
    </row>
    <row r="1486" spans="2:14" ht="15" customHeight="1" x14ac:dyDescent="0.2">
      <c r="B1486" s="253" t="s">
        <v>2379</v>
      </c>
      <c r="C1486" s="250" t="s">
        <v>235</v>
      </c>
      <c r="D1486" s="250" t="s">
        <v>369</v>
      </c>
      <c r="K1486" s="250">
        <v>0.55000000000000004</v>
      </c>
      <c r="L1486" s="250">
        <v>20.260000000000002</v>
      </c>
      <c r="N1486" s="250">
        <v>1</v>
      </c>
    </row>
    <row r="1487" spans="2:14" ht="15" customHeight="1" x14ac:dyDescent="0.2">
      <c r="B1487" s="253" t="s">
        <v>2380</v>
      </c>
      <c r="C1487" s="250" t="s">
        <v>235</v>
      </c>
      <c r="D1487" s="250" t="s">
        <v>369</v>
      </c>
      <c r="K1487" s="250">
        <v>0.55000000000000004</v>
      </c>
      <c r="L1487" s="250">
        <v>22.87</v>
      </c>
      <c r="N1487" s="250">
        <v>1</v>
      </c>
    </row>
    <row r="1488" spans="2:14" ht="15" customHeight="1" x14ac:dyDescent="0.2">
      <c r="B1488" s="253" t="s">
        <v>2381</v>
      </c>
      <c r="C1488" s="250" t="s">
        <v>235</v>
      </c>
      <c r="D1488" s="250" t="s">
        <v>369</v>
      </c>
      <c r="K1488" s="250">
        <v>0.55000000000000004</v>
      </c>
      <c r="L1488" s="250">
        <v>23.75</v>
      </c>
      <c r="N1488" s="250">
        <v>1</v>
      </c>
    </row>
    <row r="1489" spans="2:14" ht="15" customHeight="1" x14ac:dyDescent="0.2">
      <c r="B1489" s="253" t="s">
        <v>2382</v>
      </c>
      <c r="C1489" s="250" t="s">
        <v>235</v>
      </c>
      <c r="D1489" s="250" t="s">
        <v>369</v>
      </c>
      <c r="K1489" s="250">
        <v>0.55000000000000004</v>
      </c>
      <c r="L1489" s="250">
        <v>23.29</v>
      </c>
      <c r="N1489" s="250">
        <v>1</v>
      </c>
    </row>
    <row r="1490" spans="2:14" ht="15" customHeight="1" x14ac:dyDescent="0.2">
      <c r="B1490" s="253" t="s">
        <v>2383</v>
      </c>
      <c r="C1490" s="250" t="s">
        <v>235</v>
      </c>
      <c r="D1490" s="250" t="s">
        <v>369</v>
      </c>
      <c r="K1490" s="250">
        <v>0.55000000000000004</v>
      </c>
      <c r="L1490" s="250">
        <v>23.75</v>
      </c>
      <c r="N1490" s="250">
        <v>1</v>
      </c>
    </row>
    <row r="1491" spans="2:14" ht="15" customHeight="1" x14ac:dyDescent="0.2">
      <c r="B1491" s="253" t="s">
        <v>1951</v>
      </c>
      <c r="C1491" s="250" t="s">
        <v>235</v>
      </c>
      <c r="D1491" s="250" t="s">
        <v>369</v>
      </c>
      <c r="K1491" s="250">
        <v>0.55000000000000004</v>
      </c>
      <c r="L1491" s="250">
        <v>22.18</v>
      </c>
      <c r="N1491" s="250">
        <v>2</v>
      </c>
    </row>
    <row r="1492" spans="2:14" ht="15" customHeight="1" x14ac:dyDescent="0.2">
      <c r="B1492" s="253" t="s">
        <v>1952</v>
      </c>
      <c r="C1492" s="250" t="s">
        <v>235</v>
      </c>
      <c r="D1492" s="250" t="s">
        <v>369</v>
      </c>
      <c r="K1492" s="250">
        <v>0.55000000000000004</v>
      </c>
      <c r="L1492" s="250">
        <v>22.18</v>
      </c>
      <c r="N1492" s="250">
        <v>2</v>
      </c>
    </row>
    <row r="1493" spans="2:14" ht="15" customHeight="1" x14ac:dyDescent="0.2">
      <c r="B1493" s="253" t="s">
        <v>1953</v>
      </c>
      <c r="C1493" s="250" t="s">
        <v>235</v>
      </c>
      <c r="D1493" s="250" t="s">
        <v>369</v>
      </c>
      <c r="K1493" s="250">
        <v>0.55000000000000004</v>
      </c>
      <c r="L1493" s="250">
        <v>22.18</v>
      </c>
      <c r="N1493" s="250">
        <v>2</v>
      </c>
    </row>
    <row r="1494" spans="2:14" ht="15" customHeight="1" x14ac:dyDescent="0.2">
      <c r="B1494" s="253" t="s">
        <v>1954</v>
      </c>
      <c r="C1494" s="250" t="s">
        <v>235</v>
      </c>
      <c r="D1494" s="250" t="s">
        <v>369</v>
      </c>
      <c r="K1494" s="250">
        <v>0.55000000000000004</v>
      </c>
      <c r="L1494" s="250">
        <v>22.18</v>
      </c>
      <c r="N1494" s="250">
        <v>2</v>
      </c>
    </row>
    <row r="1495" spans="2:14" ht="15" customHeight="1" x14ac:dyDescent="0.2">
      <c r="B1495" s="253" t="s">
        <v>1955</v>
      </c>
      <c r="C1495" s="250" t="s">
        <v>235</v>
      </c>
      <c r="D1495" s="250" t="s">
        <v>369</v>
      </c>
      <c r="K1495" s="250">
        <v>0.55000000000000004</v>
      </c>
      <c r="L1495" s="250">
        <v>22.18</v>
      </c>
      <c r="N1495" s="250">
        <v>2</v>
      </c>
    </row>
    <row r="1496" spans="2:14" ht="15" customHeight="1" x14ac:dyDescent="0.2">
      <c r="B1496" s="253" t="s">
        <v>1956</v>
      </c>
      <c r="C1496" s="250" t="s">
        <v>235</v>
      </c>
      <c r="D1496" s="250" t="s">
        <v>369</v>
      </c>
      <c r="K1496" s="250">
        <v>0.55000000000000004</v>
      </c>
      <c r="L1496" s="250">
        <v>25.07</v>
      </c>
      <c r="N1496" s="250">
        <v>2</v>
      </c>
    </row>
    <row r="1497" spans="2:14" ht="15" customHeight="1" x14ac:dyDescent="0.2">
      <c r="B1497" s="253" t="s">
        <v>1957</v>
      </c>
      <c r="C1497" s="250" t="s">
        <v>235</v>
      </c>
      <c r="D1497" s="250" t="s">
        <v>369</v>
      </c>
      <c r="K1497" s="250">
        <v>0.55000000000000004</v>
      </c>
      <c r="L1497" s="250">
        <v>26.02</v>
      </c>
      <c r="N1497" s="250">
        <v>2</v>
      </c>
    </row>
    <row r="1498" spans="2:14" ht="15" customHeight="1" x14ac:dyDescent="0.2">
      <c r="B1498" s="253" t="s">
        <v>1958</v>
      </c>
      <c r="C1498" s="250" t="s">
        <v>235</v>
      </c>
      <c r="D1498" s="250" t="s">
        <v>369</v>
      </c>
      <c r="K1498" s="250">
        <v>0.55000000000000004</v>
      </c>
      <c r="L1498" s="250">
        <v>24.17</v>
      </c>
      <c r="N1498" s="250">
        <v>2</v>
      </c>
    </row>
    <row r="1499" spans="2:14" ht="15" customHeight="1" x14ac:dyDescent="0.2">
      <c r="B1499" s="253" t="s">
        <v>1959</v>
      </c>
      <c r="C1499" s="250" t="s">
        <v>235</v>
      </c>
      <c r="D1499" s="250" t="s">
        <v>369</v>
      </c>
      <c r="K1499" s="250">
        <v>0.55000000000000004</v>
      </c>
      <c r="L1499" s="250">
        <v>26.02</v>
      </c>
      <c r="N1499" s="250">
        <v>2</v>
      </c>
    </row>
    <row r="1500" spans="2:14" ht="15" customHeight="1" x14ac:dyDescent="0.2">
      <c r="B1500" s="253" t="s">
        <v>1960</v>
      </c>
      <c r="C1500" s="250" t="s">
        <v>235</v>
      </c>
      <c r="D1500" s="250" t="s">
        <v>369</v>
      </c>
      <c r="K1500" s="250">
        <v>0.55000000000000004</v>
      </c>
      <c r="L1500" s="250">
        <v>23.68</v>
      </c>
      <c r="N1500" s="250">
        <v>2</v>
      </c>
    </row>
    <row r="1501" spans="2:14" ht="15" customHeight="1" x14ac:dyDescent="0.2">
      <c r="B1501" s="253" t="s">
        <v>1961</v>
      </c>
      <c r="C1501" s="250" t="s">
        <v>235</v>
      </c>
      <c r="D1501" s="250" t="s">
        <v>369</v>
      </c>
      <c r="K1501" s="250">
        <v>0.55000000000000004</v>
      </c>
      <c r="L1501" s="250">
        <v>23.68</v>
      </c>
      <c r="N1501" s="250">
        <v>2</v>
      </c>
    </row>
    <row r="1502" spans="2:14" ht="15" customHeight="1" x14ac:dyDescent="0.2">
      <c r="B1502" s="253" t="s">
        <v>1962</v>
      </c>
      <c r="C1502" s="250" t="s">
        <v>235</v>
      </c>
      <c r="D1502" s="250" t="s">
        <v>369</v>
      </c>
      <c r="K1502" s="250">
        <v>0.55000000000000004</v>
      </c>
      <c r="L1502" s="250">
        <v>23.68</v>
      </c>
      <c r="N1502" s="250">
        <v>2</v>
      </c>
    </row>
    <row r="1503" spans="2:14" ht="15" customHeight="1" x14ac:dyDescent="0.2">
      <c r="B1503" s="253" t="s">
        <v>1963</v>
      </c>
      <c r="C1503" s="250" t="s">
        <v>235</v>
      </c>
      <c r="D1503" s="250" t="s">
        <v>369</v>
      </c>
      <c r="K1503" s="250">
        <v>0.55000000000000004</v>
      </c>
      <c r="L1503" s="250">
        <v>23.68</v>
      </c>
      <c r="N1503" s="250">
        <v>2</v>
      </c>
    </row>
    <row r="1504" spans="2:14" ht="15" customHeight="1" x14ac:dyDescent="0.2">
      <c r="B1504" s="253" t="s">
        <v>1964</v>
      </c>
      <c r="C1504" s="250" t="s">
        <v>235</v>
      </c>
      <c r="D1504" s="250" t="s">
        <v>369</v>
      </c>
      <c r="K1504" s="250">
        <v>0.55000000000000004</v>
      </c>
      <c r="L1504" s="250">
        <v>23.68</v>
      </c>
      <c r="N1504" s="250">
        <v>2</v>
      </c>
    </row>
    <row r="1505" spans="2:14" ht="15" customHeight="1" x14ac:dyDescent="0.2">
      <c r="B1505" s="253" t="s">
        <v>1965</v>
      </c>
      <c r="C1505" s="250" t="s">
        <v>235</v>
      </c>
      <c r="D1505" s="250" t="s">
        <v>369</v>
      </c>
      <c r="K1505" s="250">
        <v>0.55000000000000004</v>
      </c>
      <c r="L1505" s="250">
        <v>26.76</v>
      </c>
      <c r="N1505" s="250">
        <v>2</v>
      </c>
    </row>
    <row r="1506" spans="2:14" ht="15" customHeight="1" x14ac:dyDescent="0.2">
      <c r="B1506" s="253" t="s">
        <v>1966</v>
      </c>
      <c r="C1506" s="250" t="s">
        <v>235</v>
      </c>
      <c r="D1506" s="250" t="s">
        <v>369</v>
      </c>
      <c r="K1506" s="250">
        <v>0.55000000000000004</v>
      </c>
      <c r="L1506" s="250">
        <v>27.78</v>
      </c>
      <c r="N1506" s="250">
        <v>2</v>
      </c>
    </row>
    <row r="1507" spans="2:14" ht="15" customHeight="1" x14ac:dyDescent="0.2">
      <c r="B1507" s="253" t="s">
        <v>1967</v>
      </c>
      <c r="C1507" s="250" t="s">
        <v>235</v>
      </c>
      <c r="D1507" s="250" t="s">
        <v>369</v>
      </c>
      <c r="K1507" s="250">
        <v>0.55000000000000004</v>
      </c>
      <c r="L1507" s="250">
        <v>25.83</v>
      </c>
      <c r="N1507" s="250">
        <v>2</v>
      </c>
    </row>
    <row r="1508" spans="2:14" ht="15" customHeight="1" x14ac:dyDescent="0.2">
      <c r="B1508" s="253" t="s">
        <v>1968</v>
      </c>
      <c r="C1508" s="250" t="s">
        <v>235</v>
      </c>
      <c r="D1508" s="250" t="s">
        <v>369</v>
      </c>
      <c r="K1508" s="250">
        <v>0.55000000000000004</v>
      </c>
      <c r="L1508" s="250">
        <v>27.78</v>
      </c>
      <c r="N1508" s="250">
        <v>2</v>
      </c>
    </row>
    <row r="1509" spans="2:14" ht="15" customHeight="1" x14ac:dyDescent="0.2">
      <c r="B1509" s="253" t="s">
        <v>1969</v>
      </c>
      <c r="C1509" s="250" t="s">
        <v>235</v>
      </c>
      <c r="D1509" s="250" t="s">
        <v>369</v>
      </c>
      <c r="K1509" s="250">
        <v>0.55000000000000004</v>
      </c>
      <c r="L1509" s="250">
        <v>32.659999999999997</v>
      </c>
      <c r="N1509" s="250">
        <v>3</v>
      </c>
    </row>
    <row r="1510" spans="2:14" ht="15" customHeight="1" x14ac:dyDescent="0.2">
      <c r="B1510" s="253" t="s">
        <v>1970</v>
      </c>
      <c r="C1510" s="250" t="s">
        <v>235</v>
      </c>
      <c r="D1510" s="250" t="s">
        <v>369</v>
      </c>
      <c r="K1510" s="250">
        <v>0.55000000000000004</v>
      </c>
      <c r="L1510" s="250">
        <v>32.659999999999997</v>
      </c>
      <c r="N1510" s="250">
        <v>3</v>
      </c>
    </row>
    <row r="1511" spans="2:14" ht="15" customHeight="1" x14ac:dyDescent="0.2">
      <c r="B1511" s="253" t="s">
        <v>1971</v>
      </c>
      <c r="C1511" s="250" t="s">
        <v>235</v>
      </c>
      <c r="D1511" s="250" t="s">
        <v>369</v>
      </c>
      <c r="K1511" s="250">
        <v>0.55000000000000004</v>
      </c>
      <c r="L1511" s="250">
        <v>32.659999999999997</v>
      </c>
      <c r="N1511" s="250">
        <v>3</v>
      </c>
    </row>
    <row r="1512" spans="2:14" ht="15" customHeight="1" x14ac:dyDescent="0.2">
      <c r="B1512" s="253" t="s">
        <v>1972</v>
      </c>
      <c r="C1512" s="250" t="s">
        <v>235</v>
      </c>
      <c r="D1512" s="250" t="s">
        <v>369</v>
      </c>
      <c r="K1512" s="250">
        <v>0.55000000000000004</v>
      </c>
      <c r="L1512" s="250">
        <v>32.659999999999997</v>
      </c>
      <c r="N1512" s="250">
        <v>3</v>
      </c>
    </row>
    <row r="1513" spans="2:14" ht="15" customHeight="1" x14ac:dyDescent="0.2">
      <c r="B1513" s="253" t="s">
        <v>1973</v>
      </c>
      <c r="C1513" s="250" t="s">
        <v>235</v>
      </c>
      <c r="D1513" s="250" t="s">
        <v>369</v>
      </c>
      <c r="K1513" s="250">
        <v>0.55000000000000004</v>
      </c>
      <c r="L1513" s="250">
        <v>32.659999999999997</v>
      </c>
      <c r="N1513" s="250">
        <v>3</v>
      </c>
    </row>
    <row r="1514" spans="2:14" ht="15" customHeight="1" x14ac:dyDescent="0.2">
      <c r="B1514" s="253" t="s">
        <v>1974</v>
      </c>
      <c r="C1514" s="250" t="s">
        <v>235</v>
      </c>
      <c r="D1514" s="250" t="s">
        <v>369</v>
      </c>
      <c r="K1514" s="250">
        <v>0.55000000000000004</v>
      </c>
      <c r="L1514" s="250">
        <v>3.96</v>
      </c>
      <c r="N1514" s="250">
        <v>3</v>
      </c>
    </row>
    <row r="1515" spans="2:14" ht="15" customHeight="1" x14ac:dyDescent="0.2">
      <c r="B1515" s="253" t="s">
        <v>1975</v>
      </c>
      <c r="C1515" s="250" t="s">
        <v>235</v>
      </c>
      <c r="D1515" s="250" t="s">
        <v>369</v>
      </c>
      <c r="K1515" s="250">
        <v>0.55000000000000004</v>
      </c>
      <c r="L1515" s="250">
        <v>38.54</v>
      </c>
      <c r="N1515" s="250">
        <v>3</v>
      </c>
    </row>
    <row r="1516" spans="2:14" ht="15" customHeight="1" x14ac:dyDescent="0.2">
      <c r="B1516" s="253" t="s">
        <v>1976</v>
      </c>
      <c r="C1516" s="250" t="s">
        <v>235</v>
      </c>
      <c r="D1516" s="250" t="s">
        <v>369</v>
      </c>
      <c r="K1516" s="250">
        <v>0.55000000000000004</v>
      </c>
      <c r="L1516" s="250">
        <v>35.67</v>
      </c>
      <c r="N1516" s="250">
        <v>3</v>
      </c>
    </row>
    <row r="1517" spans="2:14" ht="15" customHeight="1" x14ac:dyDescent="0.2">
      <c r="B1517" s="253" t="s">
        <v>1977</v>
      </c>
      <c r="C1517" s="250" t="s">
        <v>235</v>
      </c>
      <c r="D1517" s="250" t="s">
        <v>369</v>
      </c>
      <c r="K1517" s="250">
        <v>0.55000000000000004</v>
      </c>
      <c r="L1517" s="250">
        <v>38.54</v>
      </c>
      <c r="N1517" s="250">
        <v>3</v>
      </c>
    </row>
    <row r="1518" spans="2:14" ht="15" customHeight="1" x14ac:dyDescent="0.2">
      <c r="B1518" s="253" t="s">
        <v>1978</v>
      </c>
      <c r="C1518" s="250" t="s">
        <v>235</v>
      </c>
      <c r="D1518" s="250" t="s">
        <v>369</v>
      </c>
      <c r="K1518" s="250">
        <v>0.55000000000000004</v>
      </c>
      <c r="L1518" s="250">
        <v>35.76</v>
      </c>
      <c r="N1518" s="250">
        <v>3</v>
      </c>
    </row>
    <row r="1519" spans="2:14" ht="15" customHeight="1" x14ac:dyDescent="0.2">
      <c r="B1519" s="253" t="s">
        <v>1979</v>
      </c>
      <c r="C1519" s="250" t="s">
        <v>235</v>
      </c>
      <c r="D1519" s="250" t="s">
        <v>369</v>
      </c>
      <c r="K1519" s="250">
        <v>0.55000000000000004</v>
      </c>
      <c r="L1519" s="250">
        <v>35.76</v>
      </c>
      <c r="N1519" s="250">
        <v>3</v>
      </c>
    </row>
    <row r="1520" spans="2:14" ht="15" customHeight="1" x14ac:dyDescent="0.2">
      <c r="B1520" s="253" t="s">
        <v>1980</v>
      </c>
      <c r="C1520" s="250" t="s">
        <v>235</v>
      </c>
      <c r="D1520" s="250" t="s">
        <v>369</v>
      </c>
      <c r="K1520" s="250">
        <v>0.55000000000000004</v>
      </c>
      <c r="L1520" s="250">
        <v>35.76</v>
      </c>
      <c r="N1520" s="250">
        <v>3</v>
      </c>
    </row>
    <row r="1521" spans="2:14" ht="15" customHeight="1" x14ac:dyDescent="0.2">
      <c r="B1521" s="253" t="s">
        <v>1981</v>
      </c>
      <c r="C1521" s="250" t="s">
        <v>235</v>
      </c>
      <c r="D1521" s="250" t="s">
        <v>369</v>
      </c>
      <c r="K1521" s="250">
        <v>0.55000000000000004</v>
      </c>
      <c r="L1521" s="250">
        <v>35.76</v>
      </c>
      <c r="N1521" s="250">
        <v>3</v>
      </c>
    </row>
    <row r="1522" spans="2:14" ht="15" customHeight="1" x14ac:dyDescent="0.2">
      <c r="B1522" s="253" t="s">
        <v>1982</v>
      </c>
      <c r="C1522" s="250" t="s">
        <v>235</v>
      </c>
      <c r="D1522" s="250" t="s">
        <v>369</v>
      </c>
      <c r="K1522" s="250">
        <v>0.55000000000000004</v>
      </c>
      <c r="L1522" s="250">
        <v>35.76</v>
      </c>
      <c r="N1522" s="250">
        <v>3</v>
      </c>
    </row>
    <row r="1523" spans="2:14" ht="15" customHeight="1" x14ac:dyDescent="0.2">
      <c r="B1523" s="253" t="s">
        <v>1983</v>
      </c>
      <c r="C1523" s="250" t="s">
        <v>235</v>
      </c>
      <c r="D1523" s="250" t="s">
        <v>369</v>
      </c>
      <c r="K1523" s="250">
        <v>0.55000000000000004</v>
      </c>
      <c r="L1523" s="250">
        <v>40.44</v>
      </c>
      <c r="N1523" s="250">
        <v>3</v>
      </c>
    </row>
    <row r="1524" spans="2:14" ht="15" customHeight="1" x14ac:dyDescent="0.2">
      <c r="B1524" s="253" t="s">
        <v>1984</v>
      </c>
      <c r="C1524" s="250" t="s">
        <v>235</v>
      </c>
      <c r="D1524" s="250" t="s">
        <v>369</v>
      </c>
      <c r="K1524" s="250">
        <v>0.55000000000000004</v>
      </c>
      <c r="L1524" s="250">
        <v>42.16</v>
      </c>
      <c r="N1524" s="250">
        <v>3</v>
      </c>
    </row>
    <row r="1525" spans="2:14" ht="15" customHeight="1" x14ac:dyDescent="0.2">
      <c r="B1525" s="253" t="s">
        <v>1985</v>
      </c>
      <c r="C1525" s="250" t="s">
        <v>235</v>
      </c>
      <c r="D1525" s="250" t="s">
        <v>369</v>
      </c>
      <c r="K1525" s="250">
        <v>0.55000000000000004</v>
      </c>
      <c r="L1525" s="250">
        <v>39.020000000000003</v>
      </c>
      <c r="N1525" s="250">
        <v>3</v>
      </c>
    </row>
    <row r="1526" spans="2:14" ht="15" customHeight="1" x14ac:dyDescent="0.2">
      <c r="B1526" s="253" t="s">
        <v>1986</v>
      </c>
      <c r="C1526" s="250" t="s">
        <v>235</v>
      </c>
      <c r="D1526" s="250" t="s">
        <v>369</v>
      </c>
      <c r="K1526" s="250">
        <v>0.55000000000000004</v>
      </c>
      <c r="L1526" s="250">
        <v>42.16</v>
      </c>
      <c r="N1526" s="250">
        <v>3</v>
      </c>
    </row>
    <row r="1527" spans="2:14" ht="15" customHeight="1" x14ac:dyDescent="0.2">
      <c r="B1527" s="253" t="s">
        <v>1987</v>
      </c>
      <c r="C1527" s="250" t="s">
        <v>235</v>
      </c>
      <c r="D1527" s="250" t="s">
        <v>369</v>
      </c>
      <c r="K1527" s="250">
        <v>0.55000000000000004</v>
      </c>
      <c r="L1527" s="250">
        <v>44.39</v>
      </c>
      <c r="N1527" s="250">
        <v>4</v>
      </c>
    </row>
    <row r="1528" spans="2:14" ht="15" customHeight="1" x14ac:dyDescent="0.2">
      <c r="B1528" s="253" t="s">
        <v>1988</v>
      </c>
      <c r="C1528" s="250" t="s">
        <v>235</v>
      </c>
      <c r="D1528" s="250" t="s">
        <v>369</v>
      </c>
      <c r="K1528" s="250">
        <v>0.55000000000000004</v>
      </c>
      <c r="L1528" s="250">
        <v>44.39</v>
      </c>
      <c r="N1528" s="250">
        <v>4</v>
      </c>
    </row>
    <row r="1529" spans="2:14" ht="15" customHeight="1" x14ac:dyDescent="0.2">
      <c r="B1529" s="253" t="s">
        <v>1989</v>
      </c>
      <c r="C1529" s="250" t="s">
        <v>235</v>
      </c>
      <c r="D1529" s="250" t="s">
        <v>369</v>
      </c>
      <c r="K1529" s="250">
        <v>0.55000000000000004</v>
      </c>
      <c r="L1529" s="250">
        <v>44.39</v>
      </c>
      <c r="N1529" s="250">
        <v>4</v>
      </c>
    </row>
    <row r="1530" spans="2:14" ht="15" customHeight="1" x14ac:dyDescent="0.2">
      <c r="B1530" s="253" t="s">
        <v>1990</v>
      </c>
      <c r="C1530" s="250" t="s">
        <v>235</v>
      </c>
      <c r="D1530" s="250" t="s">
        <v>369</v>
      </c>
      <c r="K1530" s="250">
        <v>0.55000000000000004</v>
      </c>
      <c r="L1530" s="250">
        <v>44.39</v>
      </c>
      <c r="N1530" s="250">
        <v>4</v>
      </c>
    </row>
    <row r="1531" spans="2:14" ht="15" customHeight="1" x14ac:dyDescent="0.2">
      <c r="B1531" s="253" t="s">
        <v>1991</v>
      </c>
      <c r="C1531" s="250" t="s">
        <v>235</v>
      </c>
      <c r="D1531" s="250" t="s">
        <v>369</v>
      </c>
      <c r="K1531" s="250">
        <v>0.55000000000000004</v>
      </c>
      <c r="L1531" s="250">
        <v>44.39</v>
      </c>
      <c r="N1531" s="250">
        <v>4</v>
      </c>
    </row>
    <row r="1532" spans="2:14" ht="15" customHeight="1" x14ac:dyDescent="0.2">
      <c r="B1532" s="253" t="s">
        <v>1992</v>
      </c>
      <c r="C1532" s="250" t="s">
        <v>235</v>
      </c>
      <c r="D1532" s="250" t="s">
        <v>369</v>
      </c>
      <c r="K1532" s="250">
        <v>0.55000000000000004</v>
      </c>
      <c r="L1532" s="250">
        <v>50.24</v>
      </c>
      <c r="N1532" s="250">
        <v>4</v>
      </c>
    </row>
    <row r="1533" spans="2:14" ht="15" customHeight="1" x14ac:dyDescent="0.2">
      <c r="B1533" s="253" t="s">
        <v>1993</v>
      </c>
      <c r="C1533" s="250" t="s">
        <v>235</v>
      </c>
      <c r="D1533" s="250" t="s">
        <v>369</v>
      </c>
      <c r="K1533" s="250">
        <v>0.55000000000000004</v>
      </c>
      <c r="L1533" s="250">
        <v>52.6</v>
      </c>
      <c r="N1533" s="250">
        <v>4</v>
      </c>
    </row>
    <row r="1534" spans="2:14" ht="15" customHeight="1" x14ac:dyDescent="0.2">
      <c r="B1534" s="253" t="s">
        <v>1994</v>
      </c>
      <c r="C1534" s="250" t="s">
        <v>235</v>
      </c>
      <c r="D1534" s="250" t="s">
        <v>369</v>
      </c>
      <c r="K1534" s="250">
        <v>0.55000000000000004</v>
      </c>
      <c r="L1534" s="250">
        <v>48.32</v>
      </c>
      <c r="N1534" s="250">
        <v>4</v>
      </c>
    </row>
    <row r="1535" spans="2:14" ht="15" customHeight="1" x14ac:dyDescent="0.2">
      <c r="B1535" s="253" t="s">
        <v>1995</v>
      </c>
      <c r="C1535" s="250" t="s">
        <v>235</v>
      </c>
      <c r="D1535" s="250" t="s">
        <v>369</v>
      </c>
      <c r="K1535" s="250">
        <v>0.55000000000000004</v>
      </c>
      <c r="L1535" s="250">
        <v>52.66</v>
      </c>
      <c r="N1535" s="250">
        <v>4</v>
      </c>
    </row>
    <row r="1536" spans="2:14" ht="15" customHeight="1" x14ac:dyDescent="0.2">
      <c r="B1536" s="253" t="s">
        <v>1996</v>
      </c>
      <c r="C1536" s="250" t="s">
        <v>235</v>
      </c>
      <c r="D1536" s="250" t="s">
        <v>369</v>
      </c>
      <c r="K1536" s="250">
        <v>0.55000000000000004</v>
      </c>
      <c r="L1536" s="250">
        <v>47.09</v>
      </c>
      <c r="N1536" s="250">
        <v>4</v>
      </c>
    </row>
    <row r="1537" spans="2:14" ht="15" customHeight="1" x14ac:dyDescent="0.2">
      <c r="B1537" s="253" t="s">
        <v>1997</v>
      </c>
      <c r="C1537" s="250" t="s">
        <v>235</v>
      </c>
      <c r="D1537" s="250" t="s">
        <v>369</v>
      </c>
      <c r="K1537" s="250">
        <v>0.55000000000000004</v>
      </c>
      <c r="L1537" s="250">
        <v>47.09</v>
      </c>
      <c r="N1537" s="250">
        <v>4</v>
      </c>
    </row>
    <row r="1538" spans="2:14" ht="15" customHeight="1" x14ac:dyDescent="0.2">
      <c r="B1538" s="253" t="s">
        <v>1998</v>
      </c>
      <c r="C1538" s="250" t="s">
        <v>235</v>
      </c>
      <c r="D1538" s="250" t="s">
        <v>369</v>
      </c>
      <c r="K1538" s="250">
        <v>0.55000000000000004</v>
      </c>
      <c r="L1538" s="250">
        <v>47.09</v>
      </c>
      <c r="N1538" s="250">
        <v>4</v>
      </c>
    </row>
    <row r="1539" spans="2:14" ht="15" customHeight="1" x14ac:dyDescent="0.2">
      <c r="B1539" s="253" t="s">
        <v>1999</v>
      </c>
      <c r="C1539" s="250" t="s">
        <v>235</v>
      </c>
      <c r="D1539" s="250" t="s">
        <v>369</v>
      </c>
      <c r="K1539" s="250">
        <v>0.55000000000000004</v>
      </c>
      <c r="L1539" s="250">
        <v>47.09</v>
      </c>
      <c r="N1539" s="250">
        <v>4</v>
      </c>
    </row>
    <row r="1540" spans="2:14" ht="15" customHeight="1" x14ac:dyDescent="0.2">
      <c r="B1540" s="253" t="s">
        <v>2000</v>
      </c>
      <c r="C1540" s="250" t="s">
        <v>235</v>
      </c>
      <c r="D1540" s="250" t="s">
        <v>369</v>
      </c>
      <c r="K1540" s="250">
        <v>0.55000000000000004</v>
      </c>
      <c r="L1540" s="250">
        <v>47.09</v>
      </c>
      <c r="N1540" s="250">
        <v>4</v>
      </c>
    </row>
    <row r="1541" spans="2:14" ht="15" customHeight="1" x14ac:dyDescent="0.2">
      <c r="B1541" s="253" t="s">
        <v>2001</v>
      </c>
      <c r="C1541" s="250" t="s">
        <v>235</v>
      </c>
      <c r="D1541" s="250" t="s">
        <v>369</v>
      </c>
      <c r="K1541" s="250">
        <v>0.55000000000000004</v>
      </c>
      <c r="L1541" s="250">
        <v>53.34</v>
      </c>
      <c r="N1541" s="250">
        <v>4</v>
      </c>
    </row>
    <row r="1542" spans="2:14" ht="15" customHeight="1" x14ac:dyDescent="0.2">
      <c r="B1542" s="253" t="s">
        <v>2002</v>
      </c>
      <c r="C1542" s="250" t="s">
        <v>235</v>
      </c>
      <c r="D1542" s="250" t="s">
        <v>369</v>
      </c>
      <c r="K1542" s="250">
        <v>0.55000000000000004</v>
      </c>
      <c r="L1542" s="250">
        <v>55.91</v>
      </c>
      <c r="N1542" s="250">
        <v>4</v>
      </c>
    </row>
    <row r="1543" spans="2:14" ht="15" customHeight="1" x14ac:dyDescent="0.2">
      <c r="B1543" s="253" t="s">
        <v>2003</v>
      </c>
      <c r="C1543" s="250" t="s">
        <v>235</v>
      </c>
      <c r="D1543" s="250" t="s">
        <v>369</v>
      </c>
      <c r="K1543" s="250">
        <v>0.55000000000000004</v>
      </c>
      <c r="L1543" s="250">
        <v>51.29</v>
      </c>
      <c r="N1543" s="250">
        <v>4</v>
      </c>
    </row>
    <row r="1544" spans="2:14" ht="15" customHeight="1" x14ac:dyDescent="0.2">
      <c r="B1544" s="253" t="s">
        <v>2004</v>
      </c>
      <c r="C1544" s="250" t="s">
        <v>235</v>
      </c>
      <c r="D1544" s="250" t="s">
        <v>369</v>
      </c>
      <c r="K1544" s="250">
        <v>0.55000000000000004</v>
      </c>
      <c r="L1544" s="250">
        <v>55.91</v>
      </c>
      <c r="N1544" s="250">
        <v>4</v>
      </c>
    </row>
    <row r="1545" spans="2:14" ht="15" customHeight="1" x14ac:dyDescent="0.2">
      <c r="B1545" s="253" t="s">
        <v>2344</v>
      </c>
      <c r="C1545" s="250" t="s">
        <v>235</v>
      </c>
      <c r="D1545" s="250" t="s">
        <v>369</v>
      </c>
      <c r="K1545" s="250">
        <v>0.55000000000000004</v>
      </c>
      <c r="L1545" s="250">
        <v>39.39</v>
      </c>
      <c r="N1545" s="250">
        <v>1.5</v>
      </c>
    </row>
    <row r="1546" spans="2:14" ht="15" customHeight="1" x14ac:dyDescent="0.2">
      <c r="B1546" s="253" t="s">
        <v>2345</v>
      </c>
      <c r="C1546" s="250" t="s">
        <v>235</v>
      </c>
      <c r="D1546" s="250" t="s">
        <v>369</v>
      </c>
      <c r="K1546" s="250">
        <v>0.55000000000000004</v>
      </c>
      <c r="L1546" s="250">
        <v>30.18</v>
      </c>
      <c r="N1546" s="250">
        <v>1.5</v>
      </c>
    </row>
    <row r="1547" spans="2:14" ht="15" customHeight="1" x14ac:dyDescent="0.2">
      <c r="B1547" s="253" t="s">
        <v>2346</v>
      </c>
      <c r="C1547" s="250" t="s">
        <v>235</v>
      </c>
      <c r="D1547" s="250" t="s">
        <v>369</v>
      </c>
      <c r="K1547" s="250">
        <v>0.55000000000000004</v>
      </c>
      <c r="L1547" s="250">
        <v>28.94</v>
      </c>
      <c r="N1547" s="250">
        <v>1.5</v>
      </c>
    </row>
    <row r="1548" spans="2:14" ht="15" customHeight="1" x14ac:dyDescent="0.2">
      <c r="B1548" s="253" t="s">
        <v>2347</v>
      </c>
      <c r="C1548" s="250" t="s">
        <v>235</v>
      </c>
      <c r="D1548" s="250" t="s">
        <v>369</v>
      </c>
      <c r="K1548" s="250">
        <v>0.55000000000000004</v>
      </c>
      <c r="L1548" s="250">
        <v>63.04</v>
      </c>
      <c r="N1548" s="250">
        <v>3</v>
      </c>
    </row>
    <row r="1549" spans="2:14" ht="15" customHeight="1" x14ac:dyDescent="0.2">
      <c r="B1549" s="253" t="s">
        <v>2348</v>
      </c>
      <c r="C1549" s="250" t="s">
        <v>235</v>
      </c>
      <c r="D1549" s="250" t="s">
        <v>369</v>
      </c>
      <c r="K1549" s="250">
        <v>0.55000000000000004</v>
      </c>
      <c r="L1549" s="250">
        <v>78.8</v>
      </c>
      <c r="N1549" s="250">
        <v>3</v>
      </c>
    </row>
    <row r="1550" spans="2:14" ht="15" customHeight="1" x14ac:dyDescent="0.2">
      <c r="B1550" s="253" t="s">
        <v>2349</v>
      </c>
      <c r="C1550" s="250" t="s">
        <v>235</v>
      </c>
      <c r="D1550" s="250" t="s">
        <v>369</v>
      </c>
      <c r="K1550" s="250">
        <v>0.55000000000000004</v>
      </c>
      <c r="L1550" s="250">
        <v>61.92</v>
      </c>
      <c r="N1550" s="250">
        <v>3</v>
      </c>
    </row>
    <row r="1551" spans="2:14" ht="15" customHeight="1" x14ac:dyDescent="0.2">
      <c r="B1551" s="253" t="s">
        <v>2350</v>
      </c>
      <c r="C1551" s="250" t="s">
        <v>235</v>
      </c>
      <c r="D1551" s="250" t="s">
        <v>369</v>
      </c>
      <c r="K1551" s="250">
        <v>0.55000000000000004</v>
      </c>
      <c r="L1551" s="250">
        <v>87.48</v>
      </c>
      <c r="N1551" s="250">
        <v>4.5</v>
      </c>
    </row>
    <row r="1552" spans="2:14" ht="15" customHeight="1" x14ac:dyDescent="0.2">
      <c r="B1552" s="253" t="s">
        <v>2351</v>
      </c>
      <c r="C1552" s="250" t="s">
        <v>235</v>
      </c>
      <c r="D1552" s="250" t="s">
        <v>369</v>
      </c>
      <c r="K1552" s="250">
        <v>0.55000000000000004</v>
      </c>
      <c r="L1552" s="250">
        <v>119.3</v>
      </c>
      <c r="N1552" s="250">
        <v>4.5</v>
      </c>
    </row>
    <row r="1553" spans="2:14" ht="15" customHeight="1" x14ac:dyDescent="0.2">
      <c r="B1553" s="253" t="s">
        <v>2352</v>
      </c>
      <c r="C1553" s="250" t="s">
        <v>235</v>
      </c>
      <c r="D1553" s="250" t="s">
        <v>369</v>
      </c>
      <c r="K1553" s="250">
        <v>0.55000000000000004</v>
      </c>
      <c r="L1553" s="250">
        <v>86.94</v>
      </c>
      <c r="N1553" s="250">
        <v>4.5</v>
      </c>
    </row>
    <row r="1554" spans="2:14" ht="15" customHeight="1" x14ac:dyDescent="0.2">
      <c r="B1554" s="253" t="s">
        <v>2353</v>
      </c>
      <c r="C1554" s="250" t="s">
        <v>235</v>
      </c>
      <c r="D1554" s="250" t="s">
        <v>369</v>
      </c>
      <c r="K1554" s="250">
        <v>0.55000000000000004</v>
      </c>
      <c r="L1554" s="250">
        <v>135.4</v>
      </c>
      <c r="N1554" s="250">
        <v>6</v>
      </c>
    </row>
    <row r="1555" spans="2:14" ht="15" customHeight="1" x14ac:dyDescent="0.2">
      <c r="B1555" s="253" t="s">
        <v>2354</v>
      </c>
      <c r="C1555" s="250" t="s">
        <v>235</v>
      </c>
      <c r="D1555" s="250" t="s">
        <v>369</v>
      </c>
      <c r="K1555" s="250">
        <v>0.55000000000000004</v>
      </c>
      <c r="L1555" s="250">
        <v>160.6</v>
      </c>
      <c r="N1555" s="250">
        <v>6</v>
      </c>
    </row>
    <row r="1556" spans="2:14" ht="15" customHeight="1" x14ac:dyDescent="0.2">
      <c r="B1556" s="253" t="s">
        <v>2355</v>
      </c>
      <c r="C1556" s="250" t="s">
        <v>235</v>
      </c>
      <c r="D1556" s="250" t="s">
        <v>369</v>
      </c>
      <c r="K1556" s="250">
        <v>0.55000000000000004</v>
      </c>
      <c r="L1556" s="250">
        <v>133.1</v>
      </c>
      <c r="N1556" s="250">
        <v>6</v>
      </c>
    </row>
    <row r="1557" spans="2:14" ht="15" customHeight="1" x14ac:dyDescent="0.2">
      <c r="B1557" s="253" t="s">
        <v>2005</v>
      </c>
      <c r="C1557" s="250" t="s">
        <v>235</v>
      </c>
      <c r="D1557" s="250" t="s">
        <v>607</v>
      </c>
      <c r="K1557" s="250">
        <v>0.55000000000000004</v>
      </c>
      <c r="L1557" s="250">
        <v>35.56</v>
      </c>
      <c r="N1557" s="250">
        <v>2.5</v>
      </c>
    </row>
    <row r="1558" spans="2:14" ht="15" customHeight="1" x14ac:dyDescent="0.2">
      <c r="B1558" s="253" t="s">
        <v>2006</v>
      </c>
      <c r="C1558" s="250" t="s">
        <v>235</v>
      </c>
      <c r="D1558" s="250" t="s">
        <v>607</v>
      </c>
      <c r="K1558" s="250">
        <v>0.55000000000000004</v>
      </c>
      <c r="L1558" s="250">
        <v>35.56</v>
      </c>
      <c r="N1558" s="250">
        <v>2.5</v>
      </c>
    </row>
    <row r="1559" spans="2:14" ht="15" customHeight="1" x14ac:dyDescent="0.2">
      <c r="B1559" s="253" t="s">
        <v>2007</v>
      </c>
      <c r="C1559" s="250" t="s">
        <v>235</v>
      </c>
      <c r="D1559" s="250" t="s">
        <v>607</v>
      </c>
      <c r="K1559" s="250">
        <v>0.55000000000000004</v>
      </c>
      <c r="L1559" s="250">
        <v>35.56</v>
      </c>
      <c r="N1559" s="250">
        <v>2.5</v>
      </c>
    </row>
    <row r="1560" spans="2:14" ht="15" customHeight="1" x14ac:dyDescent="0.2">
      <c r="B1560" s="253" t="s">
        <v>2008</v>
      </c>
      <c r="C1560" s="250" t="s">
        <v>235</v>
      </c>
      <c r="D1560" s="250" t="s">
        <v>607</v>
      </c>
      <c r="K1560" s="250">
        <v>0.55000000000000004</v>
      </c>
      <c r="L1560" s="250">
        <v>35.56</v>
      </c>
      <c r="N1560" s="250">
        <v>2.5</v>
      </c>
    </row>
    <row r="1561" spans="2:14" ht="15" customHeight="1" x14ac:dyDescent="0.2">
      <c r="B1561" s="253" t="s">
        <v>2009</v>
      </c>
      <c r="C1561" s="250" t="s">
        <v>235</v>
      </c>
      <c r="D1561" s="250" t="s">
        <v>607</v>
      </c>
      <c r="K1561" s="250">
        <v>0.55000000000000004</v>
      </c>
      <c r="L1561" s="250">
        <v>35.56</v>
      </c>
      <c r="N1561" s="250">
        <v>2.5</v>
      </c>
    </row>
    <row r="1562" spans="2:14" ht="15" customHeight="1" x14ac:dyDescent="0.2">
      <c r="B1562" s="253" t="s">
        <v>2010</v>
      </c>
      <c r="C1562" s="250" t="s">
        <v>235</v>
      </c>
      <c r="D1562" s="250" t="s">
        <v>607</v>
      </c>
      <c r="K1562" s="250">
        <v>0.55000000000000004</v>
      </c>
      <c r="L1562" s="250">
        <v>35.56</v>
      </c>
      <c r="N1562" s="250">
        <v>2.5</v>
      </c>
    </row>
    <row r="1563" spans="2:14" ht="15" customHeight="1" x14ac:dyDescent="0.2">
      <c r="B1563" s="253" t="s">
        <v>2011</v>
      </c>
      <c r="C1563" s="250" t="s">
        <v>235</v>
      </c>
      <c r="D1563" s="250" t="s">
        <v>607</v>
      </c>
      <c r="K1563" s="250">
        <v>0.55000000000000004</v>
      </c>
      <c r="L1563" s="250">
        <v>47.57</v>
      </c>
      <c r="N1563" s="250">
        <v>3.5</v>
      </c>
    </row>
    <row r="1564" spans="2:14" ht="15" customHeight="1" x14ac:dyDescent="0.2">
      <c r="B1564" s="253" t="s">
        <v>2012</v>
      </c>
      <c r="C1564" s="250" t="s">
        <v>235</v>
      </c>
      <c r="D1564" s="250" t="s">
        <v>607</v>
      </c>
      <c r="K1564" s="250">
        <v>0.55000000000000004</v>
      </c>
      <c r="L1564" s="250">
        <v>47.57</v>
      </c>
      <c r="N1564" s="250">
        <v>3.5</v>
      </c>
    </row>
    <row r="1565" spans="2:14" ht="15" customHeight="1" x14ac:dyDescent="0.2">
      <c r="B1565" s="253" t="s">
        <v>2013</v>
      </c>
      <c r="C1565" s="250" t="s">
        <v>235</v>
      </c>
      <c r="D1565" s="250" t="s">
        <v>607</v>
      </c>
      <c r="K1565" s="250">
        <v>0.55000000000000004</v>
      </c>
      <c r="L1565" s="250">
        <v>47.57</v>
      </c>
      <c r="N1565" s="250">
        <v>3.5</v>
      </c>
    </row>
    <row r="1566" spans="2:14" ht="15" customHeight="1" x14ac:dyDescent="0.2">
      <c r="B1566" s="253" t="s">
        <v>2014</v>
      </c>
      <c r="C1566" s="250" t="s">
        <v>235</v>
      </c>
      <c r="D1566" s="250" t="s">
        <v>607</v>
      </c>
      <c r="K1566" s="250">
        <v>0.55000000000000004</v>
      </c>
      <c r="L1566" s="250">
        <v>47.57</v>
      </c>
      <c r="N1566" s="250">
        <v>3.5</v>
      </c>
    </row>
    <row r="1567" spans="2:14" ht="15" customHeight="1" x14ac:dyDescent="0.2">
      <c r="B1567" s="253" t="s">
        <v>2015</v>
      </c>
      <c r="C1567" s="250" t="s">
        <v>235</v>
      </c>
      <c r="D1567" s="250" t="s">
        <v>607</v>
      </c>
      <c r="K1567" s="250">
        <v>0.55000000000000004</v>
      </c>
      <c r="L1567" s="250">
        <v>47.57</v>
      </c>
      <c r="N1567" s="250">
        <v>3.5</v>
      </c>
    </row>
    <row r="1568" spans="2:14" ht="15" customHeight="1" x14ac:dyDescent="0.2">
      <c r="B1568" s="253" t="s">
        <v>2016</v>
      </c>
      <c r="C1568" s="250" t="s">
        <v>235</v>
      </c>
      <c r="D1568" s="250" t="s">
        <v>607</v>
      </c>
      <c r="K1568" s="250">
        <v>0.55000000000000004</v>
      </c>
      <c r="L1568" s="250">
        <v>47.57</v>
      </c>
      <c r="N1568" s="250">
        <v>3.5</v>
      </c>
    </row>
    <row r="1569" spans="2:14" ht="15" customHeight="1" x14ac:dyDescent="0.2">
      <c r="B1569" s="253" t="s">
        <v>2017</v>
      </c>
      <c r="C1569" s="250" t="s">
        <v>235</v>
      </c>
      <c r="D1569" s="250" t="s">
        <v>607</v>
      </c>
      <c r="K1569" s="250">
        <v>0.55000000000000004</v>
      </c>
      <c r="L1569" s="250">
        <v>72.28</v>
      </c>
      <c r="N1569" s="250">
        <v>4.5</v>
      </c>
    </row>
    <row r="1570" spans="2:14" ht="15" customHeight="1" x14ac:dyDescent="0.2">
      <c r="B1570" s="253" t="s">
        <v>2018</v>
      </c>
      <c r="C1570" s="250" t="s">
        <v>235</v>
      </c>
      <c r="D1570" s="250" t="s">
        <v>607</v>
      </c>
      <c r="K1570" s="250">
        <v>0.55000000000000004</v>
      </c>
      <c r="L1570" s="250">
        <v>72.28</v>
      </c>
      <c r="N1570" s="250">
        <v>4.5</v>
      </c>
    </row>
    <row r="1571" spans="2:14" ht="15" customHeight="1" x14ac:dyDescent="0.2">
      <c r="B1571" s="253" t="s">
        <v>2019</v>
      </c>
      <c r="C1571" s="250" t="s">
        <v>235</v>
      </c>
      <c r="D1571" s="250" t="s">
        <v>607</v>
      </c>
      <c r="K1571" s="250">
        <v>0.55000000000000004</v>
      </c>
      <c r="L1571" s="250">
        <v>72.28</v>
      </c>
      <c r="N1571" s="250">
        <v>4.5</v>
      </c>
    </row>
    <row r="1572" spans="2:14" ht="15" customHeight="1" x14ac:dyDescent="0.2">
      <c r="B1572" s="253" t="s">
        <v>2020</v>
      </c>
      <c r="C1572" s="250" t="s">
        <v>235</v>
      </c>
      <c r="D1572" s="250" t="s">
        <v>607</v>
      </c>
      <c r="K1572" s="250">
        <v>0.55000000000000004</v>
      </c>
      <c r="L1572" s="250">
        <v>72.28</v>
      </c>
      <c r="N1572" s="250">
        <v>4.5</v>
      </c>
    </row>
    <row r="1573" spans="2:14" ht="15" customHeight="1" x14ac:dyDescent="0.2">
      <c r="B1573" s="253" t="s">
        <v>2021</v>
      </c>
      <c r="C1573" s="250" t="s">
        <v>235</v>
      </c>
      <c r="D1573" s="250" t="s">
        <v>607</v>
      </c>
      <c r="K1573" s="250">
        <v>0.55000000000000004</v>
      </c>
      <c r="L1573" s="250">
        <v>72.28</v>
      </c>
      <c r="N1573" s="250">
        <v>4.5</v>
      </c>
    </row>
    <row r="1574" spans="2:14" ht="15" customHeight="1" x14ac:dyDescent="0.2">
      <c r="B1574" s="253" t="s">
        <v>2022</v>
      </c>
      <c r="C1574" s="250" t="s">
        <v>235</v>
      </c>
      <c r="D1574" s="250" t="s">
        <v>607</v>
      </c>
      <c r="K1574" s="250">
        <v>0.55000000000000004</v>
      </c>
      <c r="L1574" s="250">
        <v>72.28</v>
      </c>
      <c r="N1574" s="250">
        <v>4.5</v>
      </c>
    </row>
    <row r="1575" spans="2:14" ht="15" customHeight="1" x14ac:dyDescent="0.2">
      <c r="B1575" s="253" t="s">
        <v>2023</v>
      </c>
      <c r="C1575" s="250" t="s">
        <v>235</v>
      </c>
      <c r="D1575" s="250" t="s">
        <v>607</v>
      </c>
      <c r="K1575" s="250">
        <v>0.55000000000000004</v>
      </c>
      <c r="L1575" s="250">
        <v>78.11</v>
      </c>
      <c r="N1575" s="250">
        <v>5</v>
      </c>
    </row>
    <row r="1576" spans="2:14" ht="15" customHeight="1" x14ac:dyDescent="0.2">
      <c r="B1576" s="253" t="s">
        <v>2024</v>
      </c>
      <c r="C1576" s="250" t="s">
        <v>235</v>
      </c>
      <c r="D1576" s="250" t="s">
        <v>607</v>
      </c>
      <c r="K1576" s="250">
        <v>0.55000000000000004</v>
      </c>
      <c r="L1576" s="250">
        <v>78.11</v>
      </c>
      <c r="N1576" s="250">
        <v>5</v>
      </c>
    </row>
    <row r="1577" spans="2:14" ht="15" customHeight="1" x14ac:dyDescent="0.2">
      <c r="B1577" s="253" t="s">
        <v>2025</v>
      </c>
      <c r="C1577" s="250" t="s">
        <v>235</v>
      </c>
      <c r="D1577" s="250" t="s">
        <v>607</v>
      </c>
      <c r="K1577" s="250">
        <v>0.55000000000000004</v>
      </c>
      <c r="L1577" s="250">
        <v>78.11</v>
      </c>
      <c r="N1577" s="250">
        <v>5</v>
      </c>
    </row>
    <row r="1578" spans="2:14" ht="15" customHeight="1" x14ac:dyDescent="0.2">
      <c r="B1578" s="253" t="s">
        <v>2026</v>
      </c>
      <c r="C1578" s="250" t="s">
        <v>235</v>
      </c>
      <c r="D1578" s="250" t="s">
        <v>607</v>
      </c>
      <c r="K1578" s="250">
        <v>0.55000000000000004</v>
      </c>
      <c r="L1578" s="250">
        <v>78.11</v>
      </c>
      <c r="N1578" s="250">
        <v>5</v>
      </c>
    </row>
    <row r="1579" spans="2:14" ht="15" customHeight="1" x14ac:dyDescent="0.2">
      <c r="B1579" s="253" t="s">
        <v>2027</v>
      </c>
      <c r="C1579" s="250" t="s">
        <v>235</v>
      </c>
      <c r="D1579" s="250" t="s">
        <v>607</v>
      </c>
      <c r="K1579" s="250">
        <v>0.55000000000000004</v>
      </c>
      <c r="L1579" s="250">
        <v>78.11</v>
      </c>
      <c r="N1579" s="250">
        <v>5</v>
      </c>
    </row>
    <row r="1580" spans="2:14" ht="15" customHeight="1" x14ac:dyDescent="0.2">
      <c r="B1580" s="253" t="s">
        <v>2028</v>
      </c>
      <c r="C1580" s="250" t="s">
        <v>235</v>
      </c>
      <c r="D1580" s="250" t="s">
        <v>607</v>
      </c>
      <c r="K1580" s="250">
        <v>0.55000000000000004</v>
      </c>
      <c r="L1580" s="250">
        <v>78.11</v>
      </c>
      <c r="N1580" s="250">
        <v>5</v>
      </c>
    </row>
    <row r="1581" spans="2:14" ht="15" customHeight="1" x14ac:dyDescent="0.2">
      <c r="B1581" s="253" t="s">
        <v>2029</v>
      </c>
      <c r="C1581" s="250" t="s">
        <v>235</v>
      </c>
      <c r="D1581" s="250" t="s">
        <v>607</v>
      </c>
      <c r="K1581" s="250">
        <v>0.55000000000000004</v>
      </c>
      <c r="L1581" s="250">
        <v>84.78</v>
      </c>
      <c r="N1581" s="250">
        <v>6</v>
      </c>
    </row>
    <row r="1582" spans="2:14" ht="15" customHeight="1" x14ac:dyDescent="0.2">
      <c r="B1582" s="253" t="s">
        <v>2030</v>
      </c>
      <c r="C1582" s="250" t="s">
        <v>235</v>
      </c>
      <c r="D1582" s="250" t="s">
        <v>607</v>
      </c>
      <c r="K1582" s="250">
        <v>0.55000000000000004</v>
      </c>
      <c r="L1582" s="250">
        <v>84.78</v>
      </c>
      <c r="N1582" s="250">
        <v>6</v>
      </c>
    </row>
    <row r="1583" spans="2:14" ht="15" customHeight="1" x14ac:dyDescent="0.2">
      <c r="B1583" s="253" t="s">
        <v>2031</v>
      </c>
      <c r="C1583" s="250" t="s">
        <v>235</v>
      </c>
      <c r="D1583" s="250" t="s">
        <v>607</v>
      </c>
      <c r="K1583" s="250">
        <v>0.55000000000000004</v>
      </c>
      <c r="L1583" s="250">
        <v>84.78</v>
      </c>
      <c r="N1583" s="250">
        <v>6</v>
      </c>
    </row>
    <row r="1584" spans="2:14" ht="15" customHeight="1" x14ac:dyDescent="0.2">
      <c r="B1584" s="253" t="s">
        <v>2032</v>
      </c>
      <c r="C1584" s="250" t="s">
        <v>235</v>
      </c>
      <c r="D1584" s="250" t="s">
        <v>607</v>
      </c>
      <c r="K1584" s="250">
        <v>0.55000000000000004</v>
      </c>
      <c r="L1584" s="250">
        <v>84.78</v>
      </c>
      <c r="N1584" s="250">
        <v>6</v>
      </c>
    </row>
    <row r="1585" spans="2:14" ht="15" customHeight="1" x14ac:dyDescent="0.2">
      <c r="B1585" s="253" t="s">
        <v>2033</v>
      </c>
      <c r="C1585" s="250" t="s">
        <v>235</v>
      </c>
      <c r="D1585" s="250" t="s">
        <v>607</v>
      </c>
      <c r="K1585" s="250">
        <v>0.55000000000000004</v>
      </c>
      <c r="L1585" s="250">
        <v>84.78</v>
      </c>
      <c r="N1585" s="250">
        <v>6</v>
      </c>
    </row>
    <row r="1586" spans="2:14" ht="15" customHeight="1" x14ac:dyDescent="0.2">
      <c r="B1586" s="253" t="s">
        <v>2034</v>
      </c>
      <c r="C1586" s="250" t="s">
        <v>235</v>
      </c>
      <c r="D1586" s="250" t="s">
        <v>607</v>
      </c>
      <c r="K1586" s="250">
        <v>0.55000000000000004</v>
      </c>
      <c r="L1586" s="250">
        <v>84.78</v>
      </c>
      <c r="N1586" s="250">
        <v>6</v>
      </c>
    </row>
    <row r="1587" spans="2:14" ht="15" customHeight="1" x14ac:dyDescent="0.2">
      <c r="B1587" s="253" t="s">
        <v>2035</v>
      </c>
      <c r="C1587" s="250" t="s">
        <v>235</v>
      </c>
      <c r="D1587" s="250" t="s">
        <v>607</v>
      </c>
      <c r="K1587" s="250">
        <v>0.55000000000000004</v>
      </c>
      <c r="L1587" s="250">
        <v>48.73</v>
      </c>
      <c r="N1587" s="250">
        <v>3</v>
      </c>
    </row>
    <row r="1588" spans="2:14" ht="15" customHeight="1" x14ac:dyDescent="0.2">
      <c r="B1588" s="253" t="s">
        <v>2036</v>
      </c>
      <c r="C1588" s="250" t="s">
        <v>235</v>
      </c>
      <c r="D1588" s="250" t="s">
        <v>607</v>
      </c>
      <c r="K1588" s="250">
        <v>0.55000000000000004</v>
      </c>
      <c r="L1588" s="250">
        <v>52.71</v>
      </c>
      <c r="N1588" s="250">
        <v>3</v>
      </c>
    </row>
    <row r="1589" spans="2:14" ht="15" customHeight="1" x14ac:dyDescent="0.2">
      <c r="B1589" s="253" t="s">
        <v>2037</v>
      </c>
      <c r="C1589" s="250" t="s">
        <v>235</v>
      </c>
      <c r="D1589" s="250" t="s">
        <v>607</v>
      </c>
      <c r="K1589" s="250">
        <v>0.55000000000000004</v>
      </c>
      <c r="L1589" s="250">
        <v>52.71</v>
      </c>
      <c r="N1589" s="250">
        <v>3</v>
      </c>
    </row>
    <row r="1590" spans="2:14" ht="15" customHeight="1" x14ac:dyDescent="0.2">
      <c r="B1590" s="253" t="s">
        <v>2038</v>
      </c>
      <c r="C1590" s="250" t="s">
        <v>235</v>
      </c>
      <c r="D1590" s="250" t="s">
        <v>607</v>
      </c>
      <c r="K1590" s="250">
        <v>0.55000000000000004</v>
      </c>
      <c r="L1590" s="250">
        <v>62.54</v>
      </c>
      <c r="N1590" s="250">
        <v>4</v>
      </c>
    </row>
    <row r="1591" spans="2:14" ht="15" customHeight="1" x14ac:dyDescent="0.2">
      <c r="B1591" s="253" t="s">
        <v>2039</v>
      </c>
      <c r="C1591" s="250" t="s">
        <v>235</v>
      </c>
      <c r="D1591" s="250" t="s">
        <v>607</v>
      </c>
      <c r="K1591" s="250">
        <v>0.55000000000000004</v>
      </c>
      <c r="L1591" s="250">
        <v>66.63</v>
      </c>
      <c r="N1591" s="250">
        <v>4</v>
      </c>
    </row>
    <row r="1592" spans="2:14" ht="15" customHeight="1" x14ac:dyDescent="0.2">
      <c r="B1592" s="253" t="s">
        <v>2040</v>
      </c>
      <c r="C1592" s="250" t="s">
        <v>235</v>
      </c>
      <c r="D1592" s="250" t="s">
        <v>607</v>
      </c>
      <c r="K1592" s="250">
        <v>0.55000000000000004</v>
      </c>
      <c r="L1592" s="250">
        <v>66.63</v>
      </c>
      <c r="N1592" s="250">
        <v>4</v>
      </c>
    </row>
    <row r="1593" spans="2:14" ht="15" customHeight="1" x14ac:dyDescent="0.2">
      <c r="B1593" s="253" t="s">
        <v>2041</v>
      </c>
      <c r="C1593" s="250" t="s">
        <v>235</v>
      </c>
      <c r="D1593" s="250" t="s">
        <v>607</v>
      </c>
      <c r="K1593" s="250">
        <v>0.55000000000000004</v>
      </c>
      <c r="L1593" s="250">
        <v>82.98</v>
      </c>
      <c r="N1593" s="250">
        <v>5</v>
      </c>
    </row>
    <row r="1594" spans="2:14" ht="15" customHeight="1" x14ac:dyDescent="0.2">
      <c r="B1594" s="253" t="s">
        <v>2042</v>
      </c>
      <c r="C1594" s="250" t="s">
        <v>235</v>
      </c>
      <c r="D1594" s="250" t="s">
        <v>607</v>
      </c>
      <c r="K1594" s="250">
        <v>0.55000000000000004</v>
      </c>
      <c r="L1594" s="250">
        <v>88.36</v>
      </c>
      <c r="N1594" s="250">
        <v>5</v>
      </c>
    </row>
    <row r="1595" spans="2:14" ht="15" customHeight="1" x14ac:dyDescent="0.2">
      <c r="B1595" s="253" t="s">
        <v>2043</v>
      </c>
      <c r="C1595" s="250" t="s">
        <v>235</v>
      </c>
      <c r="D1595" s="250" t="s">
        <v>607</v>
      </c>
      <c r="K1595" s="250">
        <v>0.55000000000000004</v>
      </c>
      <c r="L1595" s="250">
        <v>88.36</v>
      </c>
      <c r="N1595" s="250">
        <v>5</v>
      </c>
    </row>
    <row r="1596" spans="2:14" ht="15" customHeight="1" x14ac:dyDescent="0.2">
      <c r="B1596" s="253" t="s">
        <v>2044</v>
      </c>
      <c r="C1596" s="250" t="s">
        <v>235</v>
      </c>
      <c r="D1596" s="250" t="s">
        <v>607</v>
      </c>
      <c r="K1596" s="250">
        <v>0.55000000000000004</v>
      </c>
      <c r="L1596" s="250">
        <v>88.31</v>
      </c>
      <c r="N1596" s="250">
        <v>5</v>
      </c>
    </row>
    <row r="1597" spans="2:14" ht="15" customHeight="1" x14ac:dyDescent="0.2">
      <c r="B1597" s="253" t="s">
        <v>2045</v>
      </c>
      <c r="C1597" s="250" t="s">
        <v>235</v>
      </c>
      <c r="D1597" s="250" t="s">
        <v>607</v>
      </c>
      <c r="K1597" s="250">
        <v>0.55000000000000004</v>
      </c>
      <c r="L1597" s="250">
        <v>94.13</v>
      </c>
      <c r="N1597" s="250">
        <v>5</v>
      </c>
    </row>
    <row r="1598" spans="2:14" ht="15" customHeight="1" x14ac:dyDescent="0.2">
      <c r="B1598" s="253" t="s">
        <v>2046</v>
      </c>
      <c r="C1598" s="250" t="s">
        <v>235</v>
      </c>
      <c r="D1598" s="250" t="s">
        <v>607</v>
      </c>
      <c r="K1598" s="250">
        <v>0.55000000000000004</v>
      </c>
      <c r="L1598" s="250">
        <v>94.13</v>
      </c>
      <c r="N1598" s="250">
        <v>5</v>
      </c>
    </row>
    <row r="1599" spans="2:14" ht="15" customHeight="1" x14ac:dyDescent="0.2">
      <c r="B1599" s="253" t="s">
        <v>2047</v>
      </c>
      <c r="C1599" s="250" t="s">
        <v>235</v>
      </c>
      <c r="D1599" s="250" t="s">
        <v>607</v>
      </c>
      <c r="K1599" s="250">
        <v>0.55000000000000004</v>
      </c>
      <c r="L1599" s="250">
        <v>108.7</v>
      </c>
      <c r="N1599" s="250">
        <v>6.5</v>
      </c>
    </row>
    <row r="1600" spans="2:14" ht="15" customHeight="1" x14ac:dyDescent="0.2">
      <c r="B1600" s="253" t="s">
        <v>2048</v>
      </c>
      <c r="C1600" s="250" t="s">
        <v>235</v>
      </c>
      <c r="D1600" s="250" t="s">
        <v>607</v>
      </c>
      <c r="K1600" s="250">
        <v>0.55000000000000004</v>
      </c>
      <c r="L1600" s="250">
        <v>115.7</v>
      </c>
      <c r="N1600" s="250">
        <v>6.5</v>
      </c>
    </row>
    <row r="1601" spans="2:14" ht="15" customHeight="1" x14ac:dyDescent="0.2">
      <c r="B1601" s="253" t="s">
        <v>2049</v>
      </c>
      <c r="C1601" s="250" t="s">
        <v>235</v>
      </c>
      <c r="D1601" s="250" t="s">
        <v>607</v>
      </c>
      <c r="K1601" s="250">
        <v>0.55000000000000004</v>
      </c>
      <c r="L1601" s="250">
        <v>115.7</v>
      </c>
      <c r="N1601" s="250">
        <v>6.5</v>
      </c>
    </row>
    <row r="1602" spans="2:14" ht="15" customHeight="1" x14ac:dyDescent="0.2">
      <c r="B1602" s="253" t="s">
        <v>2064</v>
      </c>
      <c r="C1602" s="250" t="s">
        <v>235</v>
      </c>
      <c r="D1602" s="250" t="s">
        <v>607</v>
      </c>
      <c r="K1602" s="250">
        <v>0.55000000000000004</v>
      </c>
      <c r="L1602" s="250">
        <v>36.340000000000003</v>
      </c>
      <c r="N1602" s="250">
        <v>2.5</v>
      </c>
    </row>
    <row r="1603" spans="2:14" ht="15" customHeight="1" x14ac:dyDescent="0.2">
      <c r="B1603" s="253" t="s">
        <v>2065</v>
      </c>
      <c r="C1603" s="250" t="s">
        <v>235</v>
      </c>
      <c r="D1603" s="250" t="s">
        <v>607</v>
      </c>
      <c r="K1603" s="250">
        <v>0.55000000000000004</v>
      </c>
      <c r="L1603" s="250">
        <v>36.340000000000003</v>
      </c>
      <c r="N1603" s="250">
        <v>2.5</v>
      </c>
    </row>
    <row r="1604" spans="2:14" ht="15" customHeight="1" x14ac:dyDescent="0.2">
      <c r="B1604" s="253" t="s">
        <v>2066</v>
      </c>
      <c r="C1604" s="250" t="s">
        <v>235</v>
      </c>
      <c r="D1604" s="250" t="s">
        <v>607</v>
      </c>
      <c r="K1604" s="250">
        <v>0.55000000000000004</v>
      </c>
      <c r="L1604" s="250">
        <v>36.340000000000003</v>
      </c>
      <c r="N1604" s="250">
        <v>2.5</v>
      </c>
    </row>
    <row r="1605" spans="2:14" ht="15" customHeight="1" x14ac:dyDescent="0.2">
      <c r="B1605" s="253" t="s">
        <v>2067</v>
      </c>
      <c r="C1605" s="250" t="s">
        <v>235</v>
      </c>
      <c r="D1605" s="250" t="s">
        <v>607</v>
      </c>
      <c r="K1605" s="250">
        <v>0.55000000000000004</v>
      </c>
      <c r="L1605" s="250">
        <v>36.340000000000003</v>
      </c>
      <c r="N1605" s="250">
        <v>2.5</v>
      </c>
    </row>
    <row r="1606" spans="2:14" ht="15" customHeight="1" x14ac:dyDescent="0.2">
      <c r="B1606" s="253" t="s">
        <v>2068</v>
      </c>
      <c r="C1606" s="250" t="s">
        <v>235</v>
      </c>
      <c r="D1606" s="250" t="s">
        <v>607</v>
      </c>
      <c r="K1606" s="250">
        <v>0.55000000000000004</v>
      </c>
      <c r="L1606" s="250">
        <v>36.340000000000003</v>
      </c>
      <c r="N1606" s="250">
        <v>2.5</v>
      </c>
    </row>
    <row r="1607" spans="2:14" ht="15" customHeight="1" x14ac:dyDescent="0.2">
      <c r="B1607" s="253" t="s">
        <v>2069</v>
      </c>
      <c r="C1607" s="250" t="s">
        <v>235</v>
      </c>
      <c r="D1607" s="250" t="s">
        <v>607</v>
      </c>
      <c r="K1607" s="250">
        <v>0.55000000000000004</v>
      </c>
      <c r="L1607" s="250">
        <v>36.340000000000003</v>
      </c>
      <c r="N1607" s="250">
        <v>2.5</v>
      </c>
    </row>
    <row r="1608" spans="2:14" ht="15" customHeight="1" x14ac:dyDescent="0.2">
      <c r="B1608" s="253" t="s">
        <v>2070</v>
      </c>
      <c r="C1608" s="250" t="s">
        <v>235</v>
      </c>
      <c r="D1608" s="250" t="s">
        <v>607</v>
      </c>
      <c r="K1608" s="250">
        <v>0.55000000000000004</v>
      </c>
      <c r="L1608" s="250">
        <v>48.34</v>
      </c>
      <c r="N1608" s="250">
        <v>3.5</v>
      </c>
    </row>
    <row r="1609" spans="2:14" ht="15" customHeight="1" x14ac:dyDescent="0.2">
      <c r="B1609" s="253" t="s">
        <v>2071</v>
      </c>
      <c r="C1609" s="250" t="s">
        <v>235</v>
      </c>
      <c r="D1609" s="250" t="s">
        <v>607</v>
      </c>
      <c r="K1609" s="250">
        <v>0.55000000000000004</v>
      </c>
      <c r="L1609" s="250">
        <v>48.34</v>
      </c>
      <c r="N1609" s="250">
        <v>3.5</v>
      </c>
    </row>
    <row r="1610" spans="2:14" ht="15" customHeight="1" x14ac:dyDescent="0.2">
      <c r="B1610" s="253" t="s">
        <v>2072</v>
      </c>
      <c r="C1610" s="250" t="s">
        <v>235</v>
      </c>
      <c r="D1610" s="250" t="s">
        <v>607</v>
      </c>
      <c r="K1610" s="250">
        <v>0.55000000000000004</v>
      </c>
      <c r="L1610" s="250">
        <v>48.34</v>
      </c>
      <c r="N1610" s="250">
        <v>3.5</v>
      </c>
    </row>
    <row r="1611" spans="2:14" ht="15" customHeight="1" x14ac:dyDescent="0.2">
      <c r="B1611" s="253" t="s">
        <v>2073</v>
      </c>
      <c r="C1611" s="250" t="s">
        <v>235</v>
      </c>
      <c r="D1611" s="250" t="s">
        <v>607</v>
      </c>
      <c r="K1611" s="250">
        <v>0.55000000000000004</v>
      </c>
      <c r="L1611" s="250">
        <v>48.34</v>
      </c>
      <c r="N1611" s="250">
        <v>3.5</v>
      </c>
    </row>
    <row r="1612" spans="2:14" ht="15" customHeight="1" x14ac:dyDescent="0.2">
      <c r="B1612" s="253" t="s">
        <v>2074</v>
      </c>
      <c r="C1612" s="250" t="s">
        <v>235</v>
      </c>
      <c r="D1612" s="250" t="s">
        <v>607</v>
      </c>
      <c r="K1612" s="250">
        <v>0.55000000000000004</v>
      </c>
      <c r="L1612" s="250">
        <v>48.34</v>
      </c>
      <c r="N1612" s="250">
        <v>3.5</v>
      </c>
    </row>
    <row r="1613" spans="2:14" ht="15" customHeight="1" x14ac:dyDescent="0.2">
      <c r="B1613" s="253" t="s">
        <v>2075</v>
      </c>
      <c r="C1613" s="250" t="s">
        <v>235</v>
      </c>
      <c r="D1613" s="250" t="s">
        <v>607</v>
      </c>
      <c r="K1613" s="250">
        <v>0.55000000000000004</v>
      </c>
      <c r="L1613" s="250">
        <v>48.34</v>
      </c>
      <c r="N1613" s="250">
        <v>3.5</v>
      </c>
    </row>
    <row r="1614" spans="2:14" ht="15" customHeight="1" x14ac:dyDescent="0.2">
      <c r="B1614" s="253" t="s">
        <v>2076</v>
      </c>
      <c r="C1614" s="250" t="s">
        <v>235</v>
      </c>
      <c r="D1614" s="250" t="s">
        <v>607</v>
      </c>
      <c r="K1614" s="250">
        <v>0.55000000000000004</v>
      </c>
      <c r="L1614" s="250">
        <v>73.03</v>
      </c>
      <c r="N1614" s="250">
        <v>4.5</v>
      </c>
    </row>
    <row r="1615" spans="2:14" ht="15" customHeight="1" x14ac:dyDescent="0.2">
      <c r="B1615" s="253" t="s">
        <v>2077</v>
      </c>
      <c r="C1615" s="250" t="s">
        <v>235</v>
      </c>
      <c r="D1615" s="250" t="s">
        <v>607</v>
      </c>
      <c r="K1615" s="250">
        <v>0.55000000000000004</v>
      </c>
      <c r="L1615" s="250">
        <v>73.03</v>
      </c>
      <c r="N1615" s="250">
        <v>4.5</v>
      </c>
    </row>
    <row r="1616" spans="2:14" ht="15" customHeight="1" x14ac:dyDescent="0.2">
      <c r="B1616" s="253" t="s">
        <v>2078</v>
      </c>
      <c r="C1616" s="250" t="s">
        <v>235</v>
      </c>
      <c r="D1616" s="250" t="s">
        <v>607</v>
      </c>
      <c r="K1616" s="250">
        <v>0.55000000000000004</v>
      </c>
      <c r="L1616" s="250">
        <v>73.03</v>
      </c>
      <c r="N1616" s="250">
        <v>4.5</v>
      </c>
    </row>
    <row r="1617" spans="2:14" ht="15" customHeight="1" x14ac:dyDescent="0.2">
      <c r="B1617" s="253" t="s">
        <v>2079</v>
      </c>
      <c r="C1617" s="250" t="s">
        <v>235</v>
      </c>
      <c r="D1617" s="250" t="s">
        <v>607</v>
      </c>
      <c r="K1617" s="250">
        <v>0.55000000000000004</v>
      </c>
      <c r="L1617" s="250">
        <v>73.03</v>
      </c>
      <c r="N1617" s="250">
        <v>4.5</v>
      </c>
    </row>
    <row r="1618" spans="2:14" ht="15" customHeight="1" x14ac:dyDescent="0.2">
      <c r="B1618" s="253" t="s">
        <v>2080</v>
      </c>
      <c r="C1618" s="250" t="s">
        <v>235</v>
      </c>
      <c r="D1618" s="250" t="s">
        <v>607</v>
      </c>
      <c r="K1618" s="250">
        <v>0.55000000000000004</v>
      </c>
      <c r="L1618" s="250">
        <v>73.03</v>
      </c>
      <c r="N1618" s="250">
        <v>4.5</v>
      </c>
    </row>
    <row r="1619" spans="2:14" ht="15" customHeight="1" x14ac:dyDescent="0.2">
      <c r="B1619" s="253" t="s">
        <v>2081</v>
      </c>
      <c r="C1619" s="250" t="s">
        <v>235</v>
      </c>
      <c r="D1619" s="250" t="s">
        <v>607</v>
      </c>
      <c r="K1619" s="250">
        <v>0.55000000000000004</v>
      </c>
      <c r="L1619" s="250">
        <v>73.03</v>
      </c>
      <c r="N1619" s="250">
        <v>4.5</v>
      </c>
    </row>
    <row r="1620" spans="2:14" ht="15" customHeight="1" x14ac:dyDescent="0.2">
      <c r="B1620" s="253" t="s">
        <v>2082</v>
      </c>
      <c r="C1620" s="250" t="s">
        <v>235</v>
      </c>
      <c r="D1620" s="250" t="s">
        <v>607</v>
      </c>
      <c r="K1620" s="250">
        <v>0.55000000000000004</v>
      </c>
      <c r="L1620" s="250">
        <v>78.959999999999994</v>
      </c>
      <c r="N1620" s="250">
        <v>5</v>
      </c>
    </row>
    <row r="1621" spans="2:14" ht="15" customHeight="1" x14ac:dyDescent="0.2">
      <c r="B1621" s="253" t="s">
        <v>2083</v>
      </c>
      <c r="C1621" s="250" t="s">
        <v>235</v>
      </c>
      <c r="D1621" s="250" t="s">
        <v>607</v>
      </c>
      <c r="K1621" s="250">
        <v>0.55000000000000004</v>
      </c>
      <c r="L1621" s="250">
        <v>78.959999999999994</v>
      </c>
      <c r="N1621" s="250">
        <v>5</v>
      </c>
    </row>
    <row r="1622" spans="2:14" ht="15" customHeight="1" x14ac:dyDescent="0.2">
      <c r="B1622" s="253" t="s">
        <v>2084</v>
      </c>
      <c r="C1622" s="250" t="s">
        <v>235</v>
      </c>
      <c r="D1622" s="250" t="s">
        <v>607</v>
      </c>
      <c r="K1622" s="250">
        <v>0.55000000000000004</v>
      </c>
      <c r="L1622" s="250">
        <v>78.959999999999994</v>
      </c>
      <c r="N1622" s="250">
        <v>5</v>
      </c>
    </row>
    <row r="1623" spans="2:14" ht="15" customHeight="1" x14ac:dyDescent="0.2">
      <c r="B1623" s="253" t="s">
        <v>2085</v>
      </c>
      <c r="C1623" s="250" t="s">
        <v>235</v>
      </c>
      <c r="D1623" s="250" t="s">
        <v>607</v>
      </c>
      <c r="K1623" s="250">
        <v>0.55000000000000004</v>
      </c>
      <c r="L1623" s="250">
        <v>78.959999999999994</v>
      </c>
      <c r="N1623" s="250">
        <v>5</v>
      </c>
    </row>
    <row r="1624" spans="2:14" ht="15" customHeight="1" x14ac:dyDescent="0.2">
      <c r="B1624" s="253" t="s">
        <v>2086</v>
      </c>
      <c r="C1624" s="250" t="s">
        <v>235</v>
      </c>
      <c r="D1624" s="250" t="s">
        <v>607</v>
      </c>
      <c r="K1624" s="250">
        <v>0.55000000000000004</v>
      </c>
      <c r="L1624" s="250">
        <v>78.959999999999994</v>
      </c>
      <c r="N1624" s="250">
        <v>5</v>
      </c>
    </row>
    <row r="1625" spans="2:14" ht="15" customHeight="1" x14ac:dyDescent="0.2">
      <c r="B1625" s="253" t="s">
        <v>2087</v>
      </c>
      <c r="C1625" s="250" t="s">
        <v>235</v>
      </c>
      <c r="D1625" s="250" t="s">
        <v>607</v>
      </c>
      <c r="K1625" s="250">
        <v>0.55000000000000004</v>
      </c>
      <c r="L1625" s="250">
        <v>78.959999999999994</v>
      </c>
      <c r="N1625" s="250">
        <v>5</v>
      </c>
    </row>
    <row r="1626" spans="2:14" ht="15" customHeight="1" x14ac:dyDescent="0.2">
      <c r="B1626" s="253" t="s">
        <v>2088</v>
      </c>
      <c r="C1626" s="250" t="s">
        <v>235</v>
      </c>
      <c r="D1626" s="250" t="s">
        <v>607</v>
      </c>
      <c r="K1626" s="250">
        <v>0.55000000000000004</v>
      </c>
      <c r="L1626" s="250">
        <v>85.55</v>
      </c>
      <c r="N1626" s="250">
        <v>6</v>
      </c>
    </row>
    <row r="1627" spans="2:14" ht="15" customHeight="1" x14ac:dyDescent="0.2">
      <c r="B1627" s="253" t="s">
        <v>2089</v>
      </c>
      <c r="C1627" s="250" t="s">
        <v>235</v>
      </c>
      <c r="D1627" s="250" t="s">
        <v>607</v>
      </c>
      <c r="K1627" s="250">
        <v>0.55000000000000004</v>
      </c>
      <c r="L1627" s="250">
        <v>85.55</v>
      </c>
      <c r="N1627" s="250">
        <v>6</v>
      </c>
    </row>
    <row r="1628" spans="2:14" ht="15" customHeight="1" x14ac:dyDescent="0.2">
      <c r="B1628" s="253" t="s">
        <v>2090</v>
      </c>
      <c r="C1628" s="250" t="s">
        <v>235</v>
      </c>
      <c r="D1628" s="250" t="s">
        <v>607</v>
      </c>
      <c r="K1628" s="250">
        <v>0.55000000000000004</v>
      </c>
      <c r="L1628" s="250">
        <v>85.55</v>
      </c>
      <c r="N1628" s="250">
        <v>6</v>
      </c>
    </row>
    <row r="1629" spans="2:14" ht="15" customHeight="1" x14ac:dyDescent="0.2">
      <c r="B1629" s="253" t="s">
        <v>2091</v>
      </c>
      <c r="C1629" s="250" t="s">
        <v>235</v>
      </c>
      <c r="D1629" s="250" t="s">
        <v>607</v>
      </c>
      <c r="K1629" s="250">
        <v>0.55000000000000004</v>
      </c>
      <c r="L1629" s="250">
        <v>85.55</v>
      </c>
      <c r="N1629" s="250">
        <v>6</v>
      </c>
    </row>
    <row r="1630" spans="2:14" ht="15" customHeight="1" x14ac:dyDescent="0.2">
      <c r="B1630" s="253" t="s">
        <v>2092</v>
      </c>
      <c r="C1630" s="250" t="s">
        <v>235</v>
      </c>
      <c r="D1630" s="250" t="s">
        <v>607</v>
      </c>
      <c r="K1630" s="250">
        <v>0.55000000000000004</v>
      </c>
      <c r="L1630" s="250">
        <v>85.55</v>
      </c>
      <c r="N1630" s="250">
        <v>6</v>
      </c>
    </row>
    <row r="1631" spans="2:14" ht="15" customHeight="1" x14ac:dyDescent="0.2">
      <c r="B1631" s="253" t="s">
        <v>2093</v>
      </c>
      <c r="C1631" s="250" t="s">
        <v>235</v>
      </c>
      <c r="D1631" s="250" t="s">
        <v>607</v>
      </c>
      <c r="K1631" s="250">
        <v>0.55000000000000004</v>
      </c>
      <c r="L1631" s="250">
        <v>85.55</v>
      </c>
      <c r="N1631" s="250">
        <v>6</v>
      </c>
    </row>
    <row r="1632" spans="2:14" ht="15" customHeight="1" x14ac:dyDescent="0.2">
      <c r="B1632" s="253" t="s">
        <v>2094</v>
      </c>
      <c r="C1632" s="250" t="s">
        <v>235</v>
      </c>
      <c r="D1632" s="250" t="s">
        <v>607</v>
      </c>
      <c r="K1632" s="250">
        <v>0.55000000000000004</v>
      </c>
      <c r="L1632" s="250">
        <v>49.39</v>
      </c>
      <c r="N1632" s="250">
        <v>2.5</v>
      </c>
    </row>
    <row r="1633" spans="2:14" ht="15" customHeight="1" x14ac:dyDescent="0.2">
      <c r="B1633" s="253" t="s">
        <v>2095</v>
      </c>
      <c r="C1633" s="250" t="s">
        <v>235</v>
      </c>
      <c r="D1633" s="250" t="s">
        <v>607</v>
      </c>
      <c r="K1633" s="250">
        <v>0.55000000000000004</v>
      </c>
      <c r="L1633" s="250">
        <v>53.51</v>
      </c>
      <c r="N1633" s="250">
        <v>2.5</v>
      </c>
    </row>
    <row r="1634" spans="2:14" ht="15" customHeight="1" x14ac:dyDescent="0.2">
      <c r="B1634" s="253" t="s">
        <v>2096</v>
      </c>
      <c r="C1634" s="250" t="s">
        <v>235</v>
      </c>
      <c r="D1634" s="250" t="s">
        <v>607</v>
      </c>
      <c r="K1634" s="250">
        <v>0.55000000000000004</v>
      </c>
      <c r="L1634" s="250">
        <v>53.51</v>
      </c>
      <c r="N1634" s="250">
        <v>2.5</v>
      </c>
    </row>
    <row r="1635" spans="2:14" ht="15" customHeight="1" x14ac:dyDescent="0.2">
      <c r="B1635" s="253" t="s">
        <v>2097</v>
      </c>
      <c r="C1635" s="250" t="s">
        <v>235</v>
      </c>
      <c r="D1635" s="250" t="s">
        <v>607</v>
      </c>
      <c r="K1635" s="250">
        <v>0.55000000000000004</v>
      </c>
      <c r="L1635" s="250">
        <v>63.3</v>
      </c>
      <c r="N1635" s="250">
        <v>3.5</v>
      </c>
    </row>
    <row r="1636" spans="2:14" ht="15" customHeight="1" x14ac:dyDescent="0.2">
      <c r="B1636" s="253" t="s">
        <v>2098</v>
      </c>
      <c r="C1636" s="250" t="s">
        <v>235</v>
      </c>
      <c r="D1636" s="250" t="s">
        <v>607</v>
      </c>
      <c r="K1636" s="250">
        <v>0.55000000000000004</v>
      </c>
      <c r="L1636" s="250">
        <v>67.44</v>
      </c>
      <c r="N1636" s="250">
        <v>3.5</v>
      </c>
    </row>
    <row r="1637" spans="2:14" ht="15" customHeight="1" x14ac:dyDescent="0.2">
      <c r="B1637" s="253" t="s">
        <v>2099</v>
      </c>
      <c r="C1637" s="250" t="s">
        <v>235</v>
      </c>
      <c r="D1637" s="250" t="s">
        <v>607</v>
      </c>
      <c r="K1637" s="250">
        <v>0.55000000000000004</v>
      </c>
      <c r="L1637" s="250">
        <v>67.44</v>
      </c>
      <c r="N1637" s="250">
        <v>3.5</v>
      </c>
    </row>
    <row r="1638" spans="2:14" ht="15" customHeight="1" x14ac:dyDescent="0.2">
      <c r="B1638" s="253" t="s">
        <v>2100</v>
      </c>
      <c r="C1638" s="250" t="s">
        <v>235</v>
      </c>
      <c r="D1638" s="250" t="s">
        <v>607</v>
      </c>
      <c r="K1638" s="250">
        <v>0.55000000000000004</v>
      </c>
      <c r="L1638" s="250">
        <v>83.92</v>
      </c>
      <c r="N1638" s="250">
        <v>4.5</v>
      </c>
    </row>
    <row r="1639" spans="2:14" ht="15" customHeight="1" x14ac:dyDescent="0.2">
      <c r="B1639" s="253" t="s">
        <v>2101</v>
      </c>
      <c r="C1639" s="250" t="s">
        <v>235</v>
      </c>
      <c r="D1639" s="250" t="s">
        <v>607</v>
      </c>
      <c r="K1639" s="250">
        <v>0.55000000000000004</v>
      </c>
      <c r="L1639" s="250">
        <v>89.24</v>
      </c>
      <c r="N1639" s="250">
        <v>4.5</v>
      </c>
    </row>
    <row r="1640" spans="2:14" ht="15" customHeight="1" x14ac:dyDescent="0.2">
      <c r="B1640" s="253" t="s">
        <v>2102</v>
      </c>
      <c r="C1640" s="250" t="s">
        <v>235</v>
      </c>
      <c r="D1640" s="250" t="s">
        <v>607</v>
      </c>
      <c r="K1640" s="250">
        <v>0.55000000000000004</v>
      </c>
      <c r="L1640" s="250">
        <v>89.24</v>
      </c>
      <c r="N1640" s="250">
        <v>4.5</v>
      </c>
    </row>
    <row r="1641" spans="2:14" ht="15" customHeight="1" x14ac:dyDescent="0.2">
      <c r="B1641" s="253" t="s">
        <v>2103</v>
      </c>
      <c r="C1641" s="250" t="s">
        <v>235</v>
      </c>
      <c r="D1641" s="250" t="s">
        <v>607</v>
      </c>
      <c r="K1641" s="250">
        <v>0.55000000000000004</v>
      </c>
      <c r="L1641" s="250">
        <v>90.11</v>
      </c>
      <c r="N1641" s="250">
        <v>5</v>
      </c>
    </row>
    <row r="1642" spans="2:14" ht="15" customHeight="1" x14ac:dyDescent="0.2">
      <c r="B1642" s="253" t="s">
        <v>2104</v>
      </c>
      <c r="C1642" s="250" t="s">
        <v>235</v>
      </c>
      <c r="D1642" s="250" t="s">
        <v>607</v>
      </c>
      <c r="K1642" s="250">
        <v>0.55000000000000004</v>
      </c>
      <c r="L1642" s="250">
        <v>96.25</v>
      </c>
      <c r="N1642" s="250">
        <v>5</v>
      </c>
    </row>
    <row r="1643" spans="2:14" ht="15" customHeight="1" x14ac:dyDescent="0.2">
      <c r="B1643" s="253" t="s">
        <v>2105</v>
      </c>
      <c r="C1643" s="250" t="s">
        <v>235</v>
      </c>
      <c r="D1643" s="250" t="s">
        <v>607</v>
      </c>
      <c r="K1643" s="250">
        <v>0.55000000000000004</v>
      </c>
      <c r="L1643" s="250">
        <v>96.25</v>
      </c>
      <c r="N1643" s="250">
        <v>5</v>
      </c>
    </row>
    <row r="1644" spans="2:14" ht="15" customHeight="1" x14ac:dyDescent="0.2">
      <c r="B1644" s="253" t="s">
        <v>2106</v>
      </c>
      <c r="C1644" s="250" t="s">
        <v>235</v>
      </c>
      <c r="D1644" s="250" t="s">
        <v>607</v>
      </c>
      <c r="K1644" s="250">
        <v>0.55000000000000004</v>
      </c>
      <c r="L1644" s="250">
        <v>109.5</v>
      </c>
      <c r="N1644" s="250">
        <v>6</v>
      </c>
    </row>
    <row r="1645" spans="2:14" ht="15" customHeight="1" x14ac:dyDescent="0.2">
      <c r="B1645" s="253" t="s">
        <v>2107</v>
      </c>
      <c r="C1645" s="250" t="s">
        <v>235</v>
      </c>
      <c r="D1645" s="250" t="s">
        <v>607</v>
      </c>
      <c r="K1645" s="250">
        <v>0.55000000000000004</v>
      </c>
      <c r="L1645" s="250">
        <v>116.6</v>
      </c>
      <c r="N1645" s="250">
        <v>6</v>
      </c>
    </row>
    <row r="1646" spans="2:14" ht="15" customHeight="1" x14ac:dyDescent="0.2">
      <c r="B1646" s="253" t="s">
        <v>2108</v>
      </c>
      <c r="C1646" s="250" t="s">
        <v>235</v>
      </c>
      <c r="D1646" s="250" t="s">
        <v>607</v>
      </c>
      <c r="K1646" s="250">
        <v>0.55000000000000004</v>
      </c>
      <c r="L1646" s="250">
        <v>116.6</v>
      </c>
      <c r="N1646" s="250">
        <v>6</v>
      </c>
    </row>
    <row r="1647" spans="2:14" ht="15" customHeight="1" x14ac:dyDescent="0.2">
      <c r="B1647" s="253" t="s">
        <v>2356</v>
      </c>
      <c r="C1647" s="250" t="s">
        <v>235</v>
      </c>
      <c r="D1647" s="250" t="s">
        <v>607</v>
      </c>
      <c r="K1647" s="250">
        <v>0.55000000000000004</v>
      </c>
      <c r="L1647" s="250">
        <v>93.35</v>
      </c>
      <c r="N1647" s="250">
        <v>3</v>
      </c>
    </row>
    <row r="1648" spans="2:14" ht="15" customHeight="1" x14ac:dyDescent="0.2">
      <c r="B1648" s="253" t="s">
        <v>2357</v>
      </c>
      <c r="C1648" s="250" t="s">
        <v>235</v>
      </c>
      <c r="D1648" s="250" t="s">
        <v>607</v>
      </c>
      <c r="K1648" s="250">
        <v>0.55000000000000004</v>
      </c>
      <c r="L1648" s="250">
        <v>93.35</v>
      </c>
      <c r="N1648" s="250">
        <v>3</v>
      </c>
    </row>
    <row r="1649" spans="1:14" ht="15" customHeight="1" x14ac:dyDescent="0.2">
      <c r="B1649" s="253" t="s">
        <v>2358</v>
      </c>
      <c r="C1649" s="250" t="s">
        <v>235</v>
      </c>
      <c r="D1649" s="250" t="s">
        <v>607</v>
      </c>
      <c r="K1649" s="250">
        <v>0.55000000000000004</v>
      </c>
      <c r="L1649" s="250">
        <v>130.80000000000001</v>
      </c>
      <c r="N1649" s="250">
        <v>4.5</v>
      </c>
    </row>
    <row r="1650" spans="1:14" ht="15" customHeight="1" x14ac:dyDescent="0.2">
      <c r="B1650" s="253" t="s">
        <v>2359</v>
      </c>
      <c r="C1650" s="250" t="s">
        <v>235</v>
      </c>
      <c r="D1650" s="250" t="s">
        <v>607</v>
      </c>
      <c r="K1650" s="250">
        <v>0.55000000000000004</v>
      </c>
      <c r="L1650" s="250">
        <v>130.80000000000001</v>
      </c>
      <c r="N1650" s="250">
        <v>4.5</v>
      </c>
    </row>
    <row r="1651" spans="1:14" ht="15" customHeight="1" x14ac:dyDescent="0.2">
      <c r="B1651" s="253" t="s">
        <v>2360</v>
      </c>
      <c r="C1651" s="250" t="s">
        <v>235</v>
      </c>
      <c r="D1651" s="250" t="s">
        <v>607</v>
      </c>
      <c r="K1651" s="250">
        <v>0.55000000000000004</v>
      </c>
      <c r="L1651" s="250">
        <v>185.3</v>
      </c>
      <c r="N1651" s="250">
        <v>6</v>
      </c>
    </row>
    <row r="1652" spans="1:14" ht="15" customHeight="1" x14ac:dyDescent="0.2">
      <c r="B1652" s="253" t="s">
        <v>2361</v>
      </c>
      <c r="C1652" s="250" t="s">
        <v>235</v>
      </c>
      <c r="D1652" s="250" t="s">
        <v>607</v>
      </c>
      <c r="K1652" s="250">
        <v>0.55000000000000004</v>
      </c>
      <c r="L1652" s="250">
        <v>185.3</v>
      </c>
      <c r="N1652" s="250">
        <v>6</v>
      </c>
    </row>
    <row r="1653" spans="1:14" ht="15" customHeight="1" x14ac:dyDescent="0.2">
      <c r="B1653" s="253" t="s">
        <v>2362</v>
      </c>
      <c r="C1653" s="250" t="s">
        <v>235</v>
      </c>
      <c r="D1653" s="250" t="s">
        <v>607</v>
      </c>
      <c r="K1653" s="250">
        <v>0.55000000000000004</v>
      </c>
      <c r="L1653" s="250">
        <v>194</v>
      </c>
      <c r="N1653" s="250">
        <v>6</v>
      </c>
    </row>
    <row r="1654" spans="1:14" ht="15" customHeight="1" x14ac:dyDescent="0.2">
      <c r="B1654" s="253" t="s">
        <v>2363</v>
      </c>
      <c r="C1654" s="250" t="s">
        <v>235</v>
      </c>
      <c r="D1654" s="250" t="s">
        <v>607</v>
      </c>
      <c r="K1654" s="250">
        <v>0.55000000000000004</v>
      </c>
      <c r="L1654" s="250">
        <v>194</v>
      </c>
      <c r="N1654" s="250">
        <v>6</v>
      </c>
    </row>
    <row r="1655" spans="1:14" ht="15" customHeight="1" x14ac:dyDescent="0.2">
      <c r="B1655" s="253" t="s">
        <v>2364</v>
      </c>
      <c r="C1655" s="250" t="s">
        <v>235</v>
      </c>
      <c r="D1655" s="250" t="s">
        <v>607</v>
      </c>
      <c r="K1655" s="250">
        <v>0.55000000000000004</v>
      </c>
      <c r="L1655" s="250">
        <v>241</v>
      </c>
      <c r="N1655" s="250">
        <v>7.5</v>
      </c>
    </row>
    <row r="1656" spans="1:14" ht="15" customHeight="1" x14ac:dyDescent="0.2">
      <c r="B1656" s="253" t="s">
        <v>2365</v>
      </c>
      <c r="C1656" s="250" t="s">
        <v>235</v>
      </c>
      <c r="D1656" s="250" t="s">
        <v>607</v>
      </c>
      <c r="K1656" s="250">
        <v>0.55000000000000004</v>
      </c>
      <c r="L1656" s="250">
        <v>241</v>
      </c>
      <c r="N1656" s="250">
        <v>7.5</v>
      </c>
    </row>
    <row r="1657" spans="1:14" ht="15" customHeight="1" x14ac:dyDescent="0.2">
      <c r="A1657" s="250"/>
      <c r="B1657" s="253" t="s">
        <v>2500</v>
      </c>
      <c r="C1657" s="250" t="s">
        <v>235</v>
      </c>
      <c r="D1657" s="252" t="s">
        <v>2233</v>
      </c>
      <c r="K1657" s="250">
        <v>0.55000000000000004</v>
      </c>
      <c r="L1657" s="250">
        <v>273.06</v>
      </c>
      <c r="N1657" s="250">
        <v>4</v>
      </c>
    </row>
    <row r="1658" spans="1:14" ht="15" customHeight="1" x14ac:dyDescent="0.2">
      <c r="A1658" s="250"/>
      <c r="B1658" s="253" t="s">
        <v>2501</v>
      </c>
      <c r="C1658" s="250" t="s">
        <v>235</v>
      </c>
      <c r="D1658" s="252" t="s">
        <v>2233</v>
      </c>
      <c r="K1658" s="250">
        <v>0.55000000000000004</v>
      </c>
      <c r="L1658" s="250">
        <v>284</v>
      </c>
      <c r="N1658" s="250">
        <v>4</v>
      </c>
    </row>
    <row r="1659" spans="1:14" ht="15" customHeight="1" x14ac:dyDescent="0.2">
      <c r="A1659" s="250"/>
      <c r="B1659" s="253" t="s">
        <v>2502</v>
      </c>
      <c r="C1659" s="250" t="s">
        <v>235</v>
      </c>
      <c r="D1659" s="252" t="s">
        <v>2233</v>
      </c>
      <c r="K1659" s="250">
        <v>0.55000000000000004</v>
      </c>
      <c r="L1659" s="250">
        <v>404.14</v>
      </c>
      <c r="N1659" s="250">
        <v>4</v>
      </c>
    </row>
    <row r="1660" spans="1:14" ht="15" customHeight="1" x14ac:dyDescent="0.2">
      <c r="A1660" s="250"/>
      <c r="B1660" s="253" t="s">
        <v>2503</v>
      </c>
      <c r="C1660" s="250" t="s">
        <v>235</v>
      </c>
      <c r="D1660" s="252" t="s">
        <v>2233</v>
      </c>
      <c r="K1660" s="250">
        <v>0.55000000000000004</v>
      </c>
      <c r="L1660" s="250">
        <v>864.6</v>
      </c>
      <c r="N1660" s="250">
        <v>8</v>
      </c>
    </row>
    <row r="1661" spans="1:14" ht="15" customHeight="1" x14ac:dyDescent="0.2">
      <c r="A1661" s="250"/>
      <c r="B1661" s="253" t="s">
        <v>2504</v>
      </c>
      <c r="C1661" s="250" t="s">
        <v>235</v>
      </c>
      <c r="D1661" s="252" t="s">
        <v>2233</v>
      </c>
      <c r="K1661" s="250">
        <v>0.55000000000000004</v>
      </c>
      <c r="L1661" s="250">
        <v>264.35000000000002</v>
      </c>
      <c r="N1661" s="250">
        <v>4</v>
      </c>
    </row>
    <row r="1662" spans="1:14" ht="15" customHeight="1" x14ac:dyDescent="0.2">
      <c r="A1662" s="250"/>
      <c r="B1662" s="253" t="s">
        <v>2505</v>
      </c>
      <c r="C1662" s="250" t="s">
        <v>235</v>
      </c>
      <c r="D1662" s="252" t="s">
        <v>2233</v>
      </c>
      <c r="K1662" s="250">
        <v>0.55000000000000004</v>
      </c>
      <c r="L1662" s="250">
        <v>255.6</v>
      </c>
      <c r="N1662" s="250">
        <v>4</v>
      </c>
    </row>
    <row r="1663" spans="1:14" ht="15" customHeight="1" x14ac:dyDescent="0.2">
      <c r="A1663" s="250"/>
      <c r="B1663" s="253" t="s">
        <v>2506</v>
      </c>
      <c r="C1663" s="250" t="s">
        <v>235</v>
      </c>
      <c r="D1663" s="252" t="s">
        <v>2233</v>
      </c>
      <c r="K1663" s="250">
        <v>0.55000000000000004</v>
      </c>
      <c r="L1663" s="250">
        <v>432.9</v>
      </c>
      <c r="N1663" s="250">
        <v>4</v>
      </c>
    </row>
    <row r="1664" spans="1:14" ht="15" customHeight="1" x14ac:dyDescent="0.2">
      <c r="A1664" s="250"/>
      <c r="B1664" s="253" t="s">
        <v>2507</v>
      </c>
      <c r="C1664" s="250" t="s">
        <v>235</v>
      </c>
      <c r="D1664" s="252" t="s">
        <v>2233</v>
      </c>
      <c r="K1664" s="250">
        <v>0.55000000000000004</v>
      </c>
      <c r="L1664" s="250">
        <v>904.5</v>
      </c>
      <c r="N1664" s="250">
        <v>8</v>
      </c>
    </row>
    <row r="1665" spans="2:12" ht="15" customHeight="1" x14ac:dyDescent="0.2">
      <c r="B1665" s="250" t="s">
        <v>4174</v>
      </c>
    </row>
    <row r="1666" spans="2:12" ht="15" customHeight="1" x14ac:dyDescent="0.2">
      <c r="B1666" s="250" t="s">
        <v>1280</v>
      </c>
      <c r="C1666" s="250" t="s">
        <v>1282</v>
      </c>
      <c r="D1666" s="250" t="s">
        <v>1281</v>
      </c>
      <c r="K1666" s="250">
        <v>1</v>
      </c>
      <c r="L1666" s="250">
        <v>3800</v>
      </c>
    </row>
    <row r="1667" spans="2:12" ht="15" customHeight="1" x14ac:dyDescent="0.2">
      <c r="B1667" s="250" t="s">
        <v>1283</v>
      </c>
      <c r="C1667" s="250" t="s">
        <v>1282</v>
      </c>
      <c r="D1667" s="250" t="s">
        <v>1281</v>
      </c>
      <c r="K1667" s="250">
        <v>1</v>
      </c>
      <c r="L1667" s="250">
        <v>4300</v>
      </c>
    </row>
    <row r="1668" spans="2:12" ht="15" customHeight="1" x14ac:dyDescent="0.2">
      <c r="B1668" s="250" t="s">
        <v>1284</v>
      </c>
      <c r="C1668" s="250" t="s">
        <v>1282</v>
      </c>
      <c r="D1668" s="250" t="s">
        <v>1281</v>
      </c>
      <c r="K1668" s="250">
        <v>1</v>
      </c>
      <c r="L1668" s="250">
        <v>5000</v>
      </c>
    </row>
    <row r="1669" spans="2:12" ht="15" customHeight="1" x14ac:dyDescent="0.2">
      <c r="B1669" s="250" t="s">
        <v>1285</v>
      </c>
      <c r="C1669" s="250" t="s">
        <v>1282</v>
      </c>
      <c r="D1669" s="250" t="s">
        <v>1281</v>
      </c>
      <c r="K1669" s="250">
        <v>1</v>
      </c>
      <c r="L1669" s="250">
        <v>5800</v>
      </c>
    </row>
    <row r="1670" spans="2:12" ht="15" customHeight="1" x14ac:dyDescent="0.2">
      <c r="B1670" s="250" t="s">
        <v>1286</v>
      </c>
      <c r="C1670" s="250" t="s">
        <v>1282</v>
      </c>
      <c r="D1670" s="250" t="s">
        <v>695</v>
      </c>
      <c r="K1670" s="250">
        <v>1</v>
      </c>
      <c r="L1670" s="250">
        <v>500</v>
      </c>
    </row>
    <row r="1671" spans="2:12" ht="15" customHeight="1" x14ac:dyDescent="0.2">
      <c r="B1671" s="250" t="s">
        <v>1287</v>
      </c>
      <c r="C1671" s="250" t="s">
        <v>1282</v>
      </c>
      <c r="D1671" s="250" t="s">
        <v>695</v>
      </c>
      <c r="K1671" s="250">
        <v>1</v>
      </c>
      <c r="L1671" s="250">
        <v>700</v>
      </c>
    </row>
    <row r="1672" spans="2:12" ht="15" customHeight="1" x14ac:dyDescent="0.2">
      <c r="B1672" s="250" t="s">
        <v>1288</v>
      </c>
      <c r="C1672" s="250" t="s">
        <v>1282</v>
      </c>
      <c r="D1672" s="250" t="s">
        <v>695</v>
      </c>
      <c r="K1672" s="250">
        <v>1</v>
      </c>
      <c r="L1672" s="250">
        <v>800</v>
      </c>
    </row>
    <row r="1673" spans="2:12" ht="15" customHeight="1" x14ac:dyDescent="0.2">
      <c r="B1673" s="250" t="s">
        <v>1289</v>
      </c>
      <c r="C1673" s="250" t="s">
        <v>1282</v>
      </c>
      <c r="D1673" s="250" t="s">
        <v>695</v>
      </c>
      <c r="K1673" s="250">
        <v>1</v>
      </c>
      <c r="L1673" s="250">
        <v>1000</v>
      </c>
    </row>
    <row r="1674" spans="2:12" ht="15" customHeight="1" x14ac:dyDescent="0.2">
      <c r="B1674" s="250" t="s">
        <v>2534</v>
      </c>
      <c r="C1674" s="250" t="s">
        <v>1282</v>
      </c>
      <c r="D1674" s="250" t="s">
        <v>699</v>
      </c>
      <c r="K1674" s="250">
        <v>1</v>
      </c>
      <c r="L1674" s="250">
        <v>4935</v>
      </c>
    </row>
    <row r="1675" spans="2:12" ht="15" customHeight="1" x14ac:dyDescent="0.2">
      <c r="B1675" s="250" t="s">
        <v>2535</v>
      </c>
      <c r="C1675" s="250" t="s">
        <v>1282</v>
      </c>
      <c r="D1675" s="250" t="s">
        <v>699</v>
      </c>
      <c r="K1675" s="250">
        <v>1</v>
      </c>
      <c r="L1675" s="250">
        <v>5040</v>
      </c>
    </row>
    <row r="1676" spans="2:12" ht="15" customHeight="1" x14ac:dyDescent="0.2">
      <c r="B1676" s="250" t="s">
        <v>2536</v>
      </c>
      <c r="C1676" s="250" t="s">
        <v>1282</v>
      </c>
      <c r="D1676" s="250" t="s">
        <v>699</v>
      </c>
      <c r="K1676" s="250">
        <v>1</v>
      </c>
      <c r="L1676" s="250">
        <v>5345</v>
      </c>
    </row>
    <row r="1677" spans="2:12" ht="15" customHeight="1" x14ac:dyDescent="0.2">
      <c r="B1677" s="250" t="s">
        <v>2537</v>
      </c>
      <c r="C1677" s="250" t="s">
        <v>1282</v>
      </c>
      <c r="D1677" s="250" t="s">
        <v>699</v>
      </c>
      <c r="K1677" s="250">
        <v>1</v>
      </c>
      <c r="L1677" s="250">
        <v>5450</v>
      </c>
    </row>
    <row r="1678" spans="2:12" ht="15" customHeight="1" x14ac:dyDescent="0.2">
      <c r="B1678" s="250" t="s">
        <v>2538</v>
      </c>
      <c r="C1678" s="250" t="s">
        <v>1282</v>
      </c>
      <c r="D1678" s="250" t="s">
        <v>699</v>
      </c>
      <c r="K1678" s="250">
        <v>1</v>
      </c>
      <c r="L1678" s="250">
        <v>5544</v>
      </c>
    </row>
    <row r="1679" spans="2:12" ht="15" customHeight="1" x14ac:dyDescent="0.2">
      <c r="B1679" s="250" t="s">
        <v>2539</v>
      </c>
      <c r="C1679" s="250" t="s">
        <v>1282</v>
      </c>
      <c r="D1679" s="250" t="s">
        <v>699</v>
      </c>
      <c r="K1679" s="250">
        <v>1</v>
      </c>
      <c r="L1679" s="250">
        <v>6111</v>
      </c>
    </row>
    <row r="1680" spans="2:12" ht="15" customHeight="1" x14ac:dyDescent="0.2">
      <c r="B1680" s="250" t="s">
        <v>2540</v>
      </c>
      <c r="C1680" s="250" t="s">
        <v>1282</v>
      </c>
      <c r="D1680" s="250" t="s">
        <v>699</v>
      </c>
      <c r="K1680" s="250">
        <v>1</v>
      </c>
      <c r="L1680" s="250">
        <v>6300</v>
      </c>
    </row>
    <row r="1681" spans="2:12" ht="15" customHeight="1" x14ac:dyDescent="0.2">
      <c r="B1681" s="250" t="s">
        <v>2541</v>
      </c>
      <c r="C1681" s="250" t="s">
        <v>1282</v>
      </c>
      <c r="D1681" s="250" t="s">
        <v>699</v>
      </c>
      <c r="K1681" s="250">
        <v>1</v>
      </c>
      <c r="L1681" s="250">
        <v>6405</v>
      </c>
    </row>
    <row r="1682" spans="2:12" ht="15" customHeight="1" x14ac:dyDescent="0.2">
      <c r="B1682" s="250" t="s">
        <v>2542</v>
      </c>
      <c r="C1682" s="250" t="s">
        <v>1282</v>
      </c>
      <c r="D1682" s="250" t="s">
        <v>699</v>
      </c>
      <c r="K1682" s="250">
        <v>1</v>
      </c>
      <c r="L1682" s="250">
        <v>6930</v>
      </c>
    </row>
    <row r="1683" spans="2:12" ht="15" customHeight="1" x14ac:dyDescent="0.2">
      <c r="B1683" s="250" t="s">
        <v>2543</v>
      </c>
      <c r="C1683" s="250" t="s">
        <v>1282</v>
      </c>
      <c r="D1683" s="250" t="s">
        <v>699</v>
      </c>
      <c r="K1683" s="250">
        <v>1</v>
      </c>
      <c r="L1683" s="250">
        <v>7035</v>
      </c>
    </row>
    <row r="1684" spans="2:12" ht="15" customHeight="1" x14ac:dyDescent="0.2">
      <c r="B1684" s="250" t="s">
        <v>2544</v>
      </c>
      <c r="C1684" s="250" t="s">
        <v>1282</v>
      </c>
      <c r="D1684" s="250" t="s">
        <v>699</v>
      </c>
      <c r="K1684" s="250">
        <v>1</v>
      </c>
      <c r="L1684" s="250">
        <v>7140</v>
      </c>
    </row>
    <row r="1685" spans="2:12" ht="15" customHeight="1" x14ac:dyDescent="0.2">
      <c r="B1685" s="250" t="s">
        <v>2545</v>
      </c>
      <c r="C1685" s="250" t="s">
        <v>1282</v>
      </c>
      <c r="D1685" s="250" t="s">
        <v>699</v>
      </c>
      <c r="K1685" s="250">
        <v>1</v>
      </c>
      <c r="L1685" s="250">
        <v>7739</v>
      </c>
    </row>
    <row r="1686" spans="2:12" ht="15" customHeight="1" x14ac:dyDescent="0.2">
      <c r="B1686" s="250" t="s">
        <v>2546</v>
      </c>
      <c r="C1686" s="250" t="s">
        <v>1282</v>
      </c>
      <c r="D1686" s="250" t="s">
        <v>699</v>
      </c>
      <c r="K1686" s="250">
        <v>1</v>
      </c>
      <c r="L1686" s="250">
        <v>8348</v>
      </c>
    </row>
    <row r="1687" spans="2:12" ht="15" customHeight="1" x14ac:dyDescent="0.2">
      <c r="B1687" s="250" t="s">
        <v>2547</v>
      </c>
      <c r="C1687" s="250" t="s">
        <v>1282</v>
      </c>
      <c r="D1687" s="250" t="s">
        <v>699</v>
      </c>
      <c r="K1687" s="250">
        <v>1</v>
      </c>
      <c r="L1687" s="250">
        <v>8453</v>
      </c>
    </row>
    <row r="1688" spans="2:12" ht="15" customHeight="1" x14ac:dyDescent="0.2">
      <c r="B1688" s="250" t="s">
        <v>2548</v>
      </c>
      <c r="C1688" s="250" t="s">
        <v>1282</v>
      </c>
      <c r="D1688" s="250" t="s">
        <v>699</v>
      </c>
      <c r="K1688" s="250">
        <v>1</v>
      </c>
      <c r="L1688" s="250">
        <v>9345</v>
      </c>
    </row>
    <row r="1689" spans="2:12" ht="15" customHeight="1" x14ac:dyDescent="0.2">
      <c r="B1689" s="250" t="s">
        <v>2549</v>
      </c>
      <c r="C1689" s="250" t="s">
        <v>1282</v>
      </c>
      <c r="D1689" s="250" t="s">
        <v>699</v>
      </c>
      <c r="K1689" s="250">
        <v>1</v>
      </c>
      <c r="L1689" s="250">
        <v>9450</v>
      </c>
    </row>
    <row r="1690" spans="2:12" ht="15" customHeight="1" x14ac:dyDescent="0.2">
      <c r="B1690" s="250" t="s">
        <v>2550</v>
      </c>
      <c r="C1690" s="250" t="s">
        <v>1282</v>
      </c>
      <c r="D1690" s="250" t="s">
        <v>699</v>
      </c>
      <c r="K1690" s="250">
        <v>1</v>
      </c>
      <c r="L1690" s="250">
        <v>10185</v>
      </c>
    </row>
    <row r="1691" spans="2:12" ht="15" customHeight="1" x14ac:dyDescent="0.2">
      <c r="B1691" s="250" t="s">
        <v>2551</v>
      </c>
      <c r="C1691" s="250" t="s">
        <v>1282</v>
      </c>
      <c r="D1691" s="250" t="s">
        <v>699</v>
      </c>
      <c r="K1691" s="250">
        <v>1</v>
      </c>
      <c r="L1691" s="250">
        <v>10395</v>
      </c>
    </row>
    <row r="1692" spans="2:12" ht="15" customHeight="1" x14ac:dyDescent="0.2">
      <c r="B1692" s="250" t="s">
        <v>2552</v>
      </c>
      <c r="C1692" s="250" t="s">
        <v>1282</v>
      </c>
      <c r="D1692" s="250" t="s">
        <v>699</v>
      </c>
      <c r="K1692" s="250">
        <v>1</v>
      </c>
      <c r="L1692" s="250">
        <v>11655</v>
      </c>
    </row>
    <row r="1693" spans="2:12" ht="15" customHeight="1" x14ac:dyDescent="0.2">
      <c r="B1693" s="250" t="s">
        <v>2553</v>
      </c>
      <c r="C1693" s="250" t="s">
        <v>1282</v>
      </c>
      <c r="D1693" s="250" t="s">
        <v>699</v>
      </c>
      <c r="K1693" s="250">
        <v>1</v>
      </c>
      <c r="L1693" s="250">
        <v>11865</v>
      </c>
    </row>
    <row r="1694" spans="2:12" ht="15" customHeight="1" x14ac:dyDescent="0.2">
      <c r="B1694" s="250" t="s">
        <v>2554</v>
      </c>
      <c r="C1694" s="250" t="s">
        <v>1282</v>
      </c>
      <c r="D1694" s="250" t="s">
        <v>699</v>
      </c>
      <c r="K1694" s="250">
        <v>1</v>
      </c>
      <c r="L1694" s="250">
        <v>14070</v>
      </c>
    </row>
    <row r="1695" spans="2:12" ht="15" customHeight="1" x14ac:dyDescent="0.2">
      <c r="B1695" s="250" t="s">
        <v>2555</v>
      </c>
      <c r="C1695" s="250" t="s">
        <v>1282</v>
      </c>
      <c r="D1695" s="250" t="s">
        <v>699</v>
      </c>
      <c r="K1695" s="250">
        <v>1</v>
      </c>
      <c r="L1695" s="250">
        <v>14070</v>
      </c>
    </row>
    <row r="1696" spans="2:12" ht="15" customHeight="1" x14ac:dyDescent="0.2">
      <c r="B1696" s="250" t="s">
        <v>2556</v>
      </c>
      <c r="C1696" s="250" t="s">
        <v>1282</v>
      </c>
      <c r="D1696" s="250" t="s">
        <v>699</v>
      </c>
      <c r="K1696" s="250">
        <v>1</v>
      </c>
      <c r="L1696" s="250">
        <v>14280</v>
      </c>
    </row>
    <row r="1697" spans="2:12" ht="15" customHeight="1" x14ac:dyDescent="0.2">
      <c r="B1697" s="250" t="s">
        <v>2557</v>
      </c>
      <c r="C1697" s="250" t="s">
        <v>1282</v>
      </c>
      <c r="D1697" s="250" t="s">
        <v>699</v>
      </c>
      <c r="K1697" s="250">
        <v>1</v>
      </c>
      <c r="L1697" s="250">
        <v>18375</v>
      </c>
    </row>
    <row r="1698" spans="2:12" ht="15" customHeight="1" x14ac:dyDescent="0.2">
      <c r="B1698" s="250" t="s">
        <v>2558</v>
      </c>
      <c r="C1698" s="250" t="s">
        <v>1282</v>
      </c>
      <c r="D1698" s="250" t="s">
        <v>699</v>
      </c>
      <c r="K1698" s="250">
        <v>1</v>
      </c>
      <c r="L1698" s="250">
        <v>18585</v>
      </c>
    </row>
    <row r="1699" spans="2:12" ht="15" customHeight="1" x14ac:dyDescent="0.2">
      <c r="B1699" s="250" t="s">
        <v>2559</v>
      </c>
      <c r="C1699" s="250" t="s">
        <v>1282</v>
      </c>
      <c r="D1699" s="250" t="s">
        <v>699</v>
      </c>
      <c r="K1699" s="250">
        <v>1</v>
      </c>
      <c r="L1699" s="250">
        <v>21840</v>
      </c>
    </row>
    <row r="1700" spans="2:12" ht="15" customHeight="1" x14ac:dyDescent="0.2">
      <c r="B1700" s="250" t="s">
        <v>2560</v>
      </c>
      <c r="C1700" s="250" t="s">
        <v>1282</v>
      </c>
      <c r="D1700" s="250" t="s">
        <v>699</v>
      </c>
      <c r="K1700" s="250">
        <v>1</v>
      </c>
      <c r="L1700" s="250">
        <v>23940</v>
      </c>
    </row>
    <row r="1701" spans="2:12" ht="15" customHeight="1" x14ac:dyDescent="0.2">
      <c r="B1701" s="250" t="s">
        <v>2561</v>
      </c>
      <c r="C1701" s="250" t="s">
        <v>1282</v>
      </c>
      <c r="D1701" s="250" t="s">
        <v>699</v>
      </c>
      <c r="K1701" s="250">
        <v>1</v>
      </c>
      <c r="L1701" s="250">
        <v>30555</v>
      </c>
    </row>
    <row r="1702" spans="2:12" ht="15" customHeight="1" x14ac:dyDescent="0.2">
      <c r="B1702" s="250" t="s">
        <v>2562</v>
      </c>
      <c r="C1702" s="250" t="s">
        <v>1282</v>
      </c>
      <c r="D1702" s="250" t="s">
        <v>699</v>
      </c>
      <c r="K1702" s="250">
        <v>1</v>
      </c>
      <c r="L1702" s="250">
        <v>26481</v>
      </c>
    </row>
    <row r="1703" spans="2:12" ht="15" customHeight="1" x14ac:dyDescent="0.2">
      <c r="B1703" s="250" t="s">
        <v>2563</v>
      </c>
      <c r="C1703" s="250" t="s">
        <v>1282</v>
      </c>
      <c r="D1703" s="250" t="s">
        <v>699</v>
      </c>
      <c r="K1703" s="250">
        <v>1</v>
      </c>
      <c r="L1703" s="250">
        <v>29537</v>
      </c>
    </row>
    <row r="1704" spans="2:12" ht="15" customHeight="1" x14ac:dyDescent="0.2">
      <c r="B1704" s="250" t="s">
        <v>2564</v>
      </c>
      <c r="C1704" s="250" t="s">
        <v>1282</v>
      </c>
      <c r="D1704" s="250" t="s">
        <v>699</v>
      </c>
      <c r="K1704" s="250">
        <v>1</v>
      </c>
      <c r="L1704" s="250">
        <v>3885</v>
      </c>
    </row>
    <row r="1705" spans="2:12" ht="15" customHeight="1" x14ac:dyDescent="0.2">
      <c r="B1705" s="250" t="s">
        <v>2565</v>
      </c>
      <c r="C1705" s="250" t="s">
        <v>1282</v>
      </c>
      <c r="D1705" s="250" t="s">
        <v>699</v>
      </c>
      <c r="K1705" s="250">
        <v>1</v>
      </c>
      <c r="L1705" s="250">
        <v>3990</v>
      </c>
    </row>
    <row r="1706" spans="2:12" ht="15" customHeight="1" x14ac:dyDescent="0.2">
      <c r="B1706" s="250" t="s">
        <v>2566</v>
      </c>
      <c r="C1706" s="250" t="s">
        <v>1282</v>
      </c>
      <c r="D1706" s="250" t="s">
        <v>699</v>
      </c>
      <c r="K1706" s="250">
        <v>1</v>
      </c>
      <c r="L1706" s="250">
        <v>4200</v>
      </c>
    </row>
    <row r="1707" spans="2:12" ht="15" customHeight="1" x14ac:dyDescent="0.2">
      <c r="B1707" s="250" t="s">
        <v>2567</v>
      </c>
      <c r="C1707" s="250" t="s">
        <v>1282</v>
      </c>
      <c r="D1707" s="250" t="s">
        <v>699</v>
      </c>
      <c r="K1707" s="250">
        <v>1</v>
      </c>
      <c r="L1707" s="250">
        <v>4305</v>
      </c>
    </row>
    <row r="1708" spans="2:12" ht="15" customHeight="1" x14ac:dyDescent="0.2">
      <c r="B1708" s="250" t="s">
        <v>2568</v>
      </c>
      <c r="C1708" s="250" t="s">
        <v>1282</v>
      </c>
      <c r="D1708" s="250" t="s">
        <v>699</v>
      </c>
      <c r="K1708" s="250">
        <v>1</v>
      </c>
      <c r="L1708" s="250">
        <v>4410</v>
      </c>
    </row>
    <row r="1709" spans="2:12" ht="15" customHeight="1" x14ac:dyDescent="0.2">
      <c r="B1709" s="250" t="s">
        <v>2569</v>
      </c>
      <c r="C1709" s="250" t="s">
        <v>1282</v>
      </c>
      <c r="D1709" s="250" t="s">
        <v>699</v>
      </c>
      <c r="K1709" s="250">
        <v>1</v>
      </c>
      <c r="L1709" s="250">
        <v>4778</v>
      </c>
    </row>
    <row r="1710" spans="2:12" ht="15" customHeight="1" x14ac:dyDescent="0.2">
      <c r="B1710" s="250" t="s">
        <v>2570</v>
      </c>
      <c r="C1710" s="250" t="s">
        <v>1282</v>
      </c>
      <c r="D1710" s="250" t="s">
        <v>699</v>
      </c>
      <c r="K1710" s="250">
        <v>1</v>
      </c>
      <c r="L1710" s="250">
        <v>4778</v>
      </c>
    </row>
    <row r="1711" spans="2:12" ht="15" customHeight="1" x14ac:dyDescent="0.2">
      <c r="B1711" s="250" t="s">
        <v>2571</v>
      </c>
      <c r="C1711" s="250" t="s">
        <v>1282</v>
      </c>
      <c r="D1711" s="250" t="s">
        <v>699</v>
      </c>
      <c r="K1711" s="250">
        <v>1</v>
      </c>
      <c r="L1711" s="250">
        <v>4883</v>
      </c>
    </row>
    <row r="1712" spans="2:12" ht="15" customHeight="1" x14ac:dyDescent="0.2">
      <c r="B1712" s="250" t="s">
        <v>2572</v>
      </c>
      <c r="C1712" s="250" t="s">
        <v>1282</v>
      </c>
      <c r="D1712" s="250" t="s">
        <v>699</v>
      </c>
      <c r="K1712" s="250">
        <v>1</v>
      </c>
      <c r="L1712" s="250">
        <v>5198</v>
      </c>
    </row>
    <row r="1713" spans="2:12" ht="15" customHeight="1" x14ac:dyDescent="0.2">
      <c r="B1713" s="250" t="s">
        <v>2573</v>
      </c>
      <c r="C1713" s="250" t="s">
        <v>1282</v>
      </c>
      <c r="D1713" s="250" t="s">
        <v>699</v>
      </c>
      <c r="K1713" s="250">
        <v>1</v>
      </c>
      <c r="L1713" s="250">
        <v>5303</v>
      </c>
    </row>
    <row r="1714" spans="2:12" ht="15" customHeight="1" x14ac:dyDescent="0.2">
      <c r="B1714" s="250" t="s">
        <v>2574</v>
      </c>
      <c r="C1714" s="250" t="s">
        <v>1282</v>
      </c>
      <c r="D1714" s="250" t="s">
        <v>699</v>
      </c>
      <c r="K1714" s="250">
        <v>1</v>
      </c>
      <c r="L1714" s="250">
        <v>5408</v>
      </c>
    </row>
    <row r="1715" spans="2:12" ht="15" customHeight="1" x14ac:dyDescent="0.2">
      <c r="B1715" s="250" t="s">
        <v>2575</v>
      </c>
      <c r="C1715" s="250" t="s">
        <v>1282</v>
      </c>
      <c r="D1715" s="250" t="s">
        <v>699</v>
      </c>
      <c r="K1715" s="250">
        <v>1</v>
      </c>
      <c r="L1715" s="250">
        <v>5670</v>
      </c>
    </row>
    <row r="1716" spans="2:12" ht="15" customHeight="1" x14ac:dyDescent="0.2">
      <c r="B1716" s="250" t="s">
        <v>2576</v>
      </c>
      <c r="C1716" s="250" t="s">
        <v>1282</v>
      </c>
      <c r="D1716" s="250" t="s">
        <v>699</v>
      </c>
      <c r="K1716" s="250">
        <v>1</v>
      </c>
      <c r="L1716" s="250">
        <v>5775</v>
      </c>
    </row>
    <row r="1717" spans="2:12" ht="15" customHeight="1" x14ac:dyDescent="0.2">
      <c r="B1717" s="250" t="s">
        <v>2577</v>
      </c>
      <c r="C1717" s="250" t="s">
        <v>1282</v>
      </c>
      <c r="D1717" s="250" t="s">
        <v>699</v>
      </c>
      <c r="K1717" s="250">
        <v>1</v>
      </c>
      <c r="L1717" s="250">
        <v>5880</v>
      </c>
    </row>
    <row r="1718" spans="2:12" ht="15" customHeight="1" x14ac:dyDescent="0.2">
      <c r="B1718" s="250" t="s">
        <v>2578</v>
      </c>
      <c r="C1718" s="250" t="s">
        <v>1282</v>
      </c>
      <c r="D1718" s="250" t="s">
        <v>699</v>
      </c>
      <c r="K1718" s="250">
        <v>1</v>
      </c>
      <c r="L1718" s="250">
        <v>6405</v>
      </c>
    </row>
    <row r="1719" spans="2:12" ht="15" customHeight="1" x14ac:dyDescent="0.2">
      <c r="B1719" s="250" t="s">
        <v>2579</v>
      </c>
      <c r="C1719" s="250" t="s">
        <v>1282</v>
      </c>
      <c r="D1719" s="250" t="s">
        <v>699</v>
      </c>
      <c r="K1719" s="250">
        <v>1</v>
      </c>
      <c r="L1719" s="250">
        <v>6510</v>
      </c>
    </row>
    <row r="1720" spans="2:12" ht="15" customHeight="1" x14ac:dyDescent="0.2">
      <c r="B1720" s="250" t="s">
        <v>2580</v>
      </c>
      <c r="C1720" s="250" t="s">
        <v>1282</v>
      </c>
      <c r="D1720" s="250" t="s">
        <v>699</v>
      </c>
      <c r="K1720" s="250">
        <v>1</v>
      </c>
      <c r="L1720" s="250">
        <v>7140</v>
      </c>
    </row>
    <row r="1721" spans="2:12" ht="15" customHeight="1" x14ac:dyDescent="0.2">
      <c r="B1721" s="250" t="s">
        <v>2581</v>
      </c>
      <c r="C1721" s="250" t="s">
        <v>1282</v>
      </c>
      <c r="D1721" s="250" t="s">
        <v>699</v>
      </c>
      <c r="K1721" s="250">
        <v>1</v>
      </c>
      <c r="L1721" s="250">
        <v>7350</v>
      </c>
    </row>
    <row r="1722" spans="2:12" ht="15" customHeight="1" x14ac:dyDescent="0.2">
      <c r="B1722" s="250" t="s">
        <v>2582</v>
      </c>
      <c r="C1722" s="250" t="s">
        <v>1282</v>
      </c>
      <c r="D1722" s="250" t="s">
        <v>699</v>
      </c>
      <c r="K1722" s="250">
        <v>1</v>
      </c>
      <c r="L1722" s="250">
        <v>8138</v>
      </c>
    </row>
    <row r="1723" spans="2:12" ht="15" customHeight="1" x14ac:dyDescent="0.2">
      <c r="B1723" s="250" t="s">
        <v>2583</v>
      </c>
      <c r="C1723" s="250" t="s">
        <v>1282</v>
      </c>
      <c r="D1723" s="250" t="s">
        <v>699</v>
      </c>
      <c r="K1723" s="250">
        <v>1</v>
      </c>
      <c r="L1723" s="250">
        <v>8348</v>
      </c>
    </row>
    <row r="1724" spans="2:12" ht="15" customHeight="1" x14ac:dyDescent="0.2">
      <c r="B1724" s="250" t="s">
        <v>2675</v>
      </c>
      <c r="C1724" s="250" t="s">
        <v>1282</v>
      </c>
      <c r="D1724" s="250" t="s">
        <v>699</v>
      </c>
      <c r="K1724" s="250">
        <v>1</v>
      </c>
      <c r="L1724" s="250">
        <v>5785</v>
      </c>
    </row>
    <row r="1725" spans="2:12" ht="15" customHeight="1" x14ac:dyDescent="0.2">
      <c r="B1725" s="250" t="s">
        <v>2676</v>
      </c>
      <c r="C1725" s="250" t="s">
        <v>1282</v>
      </c>
      <c r="D1725" s="250" t="s">
        <v>699</v>
      </c>
      <c r="K1725" s="250">
        <v>1</v>
      </c>
      <c r="L1725" s="250">
        <v>5890</v>
      </c>
    </row>
    <row r="1726" spans="2:12" ht="15" customHeight="1" x14ac:dyDescent="0.2">
      <c r="B1726" s="250" t="s">
        <v>2677</v>
      </c>
      <c r="C1726" s="250" t="s">
        <v>1282</v>
      </c>
      <c r="D1726" s="250" t="s">
        <v>699</v>
      </c>
      <c r="K1726" s="250">
        <v>1</v>
      </c>
      <c r="L1726" s="250">
        <v>6195</v>
      </c>
    </row>
    <row r="1727" spans="2:12" ht="15" customHeight="1" x14ac:dyDescent="0.2">
      <c r="B1727" s="250" t="s">
        <v>2678</v>
      </c>
      <c r="C1727" s="250" t="s">
        <v>1282</v>
      </c>
      <c r="D1727" s="250" t="s">
        <v>699</v>
      </c>
      <c r="K1727" s="250">
        <v>1</v>
      </c>
      <c r="L1727" s="250">
        <v>6300</v>
      </c>
    </row>
    <row r="1728" spans="2:12" ht="15" customHeight="1" x14ac:dyDescent="0.2">
      <c r="B1728" s="250" t="s">
        <v>2679</v>
      </c>
      <c r="C1728" s="250" t="s">
        <v>1282</v>
      </c>
      <c r="D1728" s="250" t="s">
        <v>699</v>
      </c>
      <c r="K1728" s="250">
        <v>1</v>
      </c>
      <c r="L1728" s="250">
        <v>6394</v>
      </c>
    </row>
    <row r="1729" spans="2:12" ht="15" customHeight="1" x14ac:dyDescent="0.2">
      <c r="B1729" s="250" t="s">
        <v>2680</v>
      </c>
      <c r="C1729" s="250" t="s">
        <v>1282</v>
      </c>
      <c r="D1729" s="250" t="s">
        <v>699</v>
      </c>
      <c r="K1729" s="250">
        <v>1</v>
      </c>
      <c r="L1729" s="250">
        <v>6961</v>
      </c>
    </row>
    <row r="1730" spans="2:12" ht="15" customHeight="1" x14ac:dyDescent="0.2">
      <c r="B1730" s="250" t="s">
        <v>2681</v>
      </c>
      <c r="C1730" s="250" t="s">
        <v>1282</v>
      </c>
      <c r="D1730" s="250" t="s">
        <v>699</v>
      </c>
      <c r="K1730" s="250">
        <v>1</v>
      </c>
      <c r="L1730" s="250">
        <v>7150</v>
      </c>
    </row>
    <row r="1731" spans="2:12" ht="15" customHeight="1" x14ac:dyDescent="0.2">
      <c r="B1731" s="250" t="s">
        <v>2682</v>
      </c>
      <c r="C1731" s="250" t="s">
        <v>1282</v>
      </c>
      <c r="D1731" s="250" t="s">
        <v>699</v>
      </c>
      <c r="K1731" s="250">
        <v>1</v>
      </c>
      <c r="L1731" s="250">
        <v>7255</v>
      </c>
    </row>
    <row r="1732" spans="2:12" ht="15" customHeight="1" x14ac:dyDescent="0.2">
      <c r="B1732" s="250" t="s">
        <v>2683</v>
      </c>
      <c r="C1732" s="250" t="s">
        <v>1282</v>
      </c>
      <c r="D1732" s="250" t="s">
        <v>699</v>
      </c>
      <c r="K1732" s="250">
        <v>1</v>
      </c>
      <c r="L1732" s="250">
        <v>7780</v>
      </c>
    </row>
    <row r="1733" spans="2:12" ht="15" customHeight="1" x14ac:dyDescent="0.2">
      <c r="B1733" s="250" t="s">
        <v>2684</v>
      </c>
      <c r="C1733" s="250" t="s">
        <v>1282</v>
      </c>
      <c r="D1733" s="250" t="s">
        <v>699</v>
      </c>
      <c r="K1733" s="250">
        <v>1</v>
      </c>
      <c r="L1733" s="250">
        <v>7885</v>
      </c>
    </row>
    <row r="1734" spans="2:12" ht="15" customHeight="1" x14ac:dyDescent="0.2">
      <c r="B1734" s="250" t="s">
        <v>2685</v>
      </c>
      <c r="C1734" s="250" t="s">
        <v>1282</v>
      </c>
      <c r="D1734" s="250" t="s">
        <v>699</v>
      </c>
      <c r="K1734" s="250">
        <v>1</v>
      </c>
      <c r="L1734" s="250">
        <v>7990</v>
      </c>
    </row>
    <row r="1735" spans="2:12" ht="15" customHeight="1" x14ac:dyDescent="0.2">
      <c r="B1735" s="250" t="s">
        <v>2686</v>
      </c>
      <c r="C1735" s="250" t="s">
        <v>1282</v>
      </c>
      <c r="D1735" s="250" t="s">
        <v>699</v>
      </c>
      <c r="K1735" s="250">
        <v>1</v>
      </c>
      <c r="L1735" s="250">
        <v>8589</v>
      </c>
    </row>
    <row r="1736" spans="2:12" ht="15" customHeight="1" x14ac:dyDescent="0.2">
      <c r="B1736" s="250" t="s">
        <v>2687</v>
      </c>
      <c r="C1736" s="250" t="s">
        <v>1282</v>
      </c>
      <c r="D1736" s="250" t="s">
        <v>699</v>
      </c>
      <c r="K1736" s="250">
        <v>1</v>
      </c>
      <c r="L1736" s="250">
        <v>9198</v>
      </c>
    </row>
    <row r="1737" spans="2:12" ht="15" customHeight="1" x14ac:dyDescent="0.2">
      <c r="B1737" s="250" t="s">
        <v>2688</v>
      </c>
      <c r="C1737" s="250" t="s">
        <v>1282</v>
      </c>
      <c r="D1737" s="250" t="s">
        <v>699</v>
      </c>
      <c r="K1737" s="250">
        <v>1</v>
      </c>
      <c r="L1737" s="250">
        <v>9303</v>
      </c>
    </row>
    <row r="1738" spans="2:12" ht="15" customHeight="1" x14ac:dyDescent="0.2">
      <c r="B1738" s="250" t="s">
        <v>2689</v>
      </c>
      <c r="C1738" s="250" t="s">
        <v>1282</v>
      </c>
      <c r="D1738" s="250" t="s">
        <v>699</v>
      </c>
      <c r="K1738" s="250">
        <v>1</v>
      </c>
      <c r="L1738" s="250">
        <v>10195</v>
      </c>
    </row>
    <row r="1739" spans="2:12" ht="15" customHeight="1" x14ac:dyDescent="0.2">
      <c r="B1739" s="250" t="s">
        <v>2690</v>
      </c>
      <c r="C1739" s="250" t="s">
        <v>1282</v>
      </c>
      <c r="D1739" s="250" t="s">
        <v>699</v>
      </c>
      <c r="K1739" s="250">
        <v>1</v>
      </c>
      <c r="L1739" s="250">
        <v>10300</v>
      </c>
    </row>
    <row r="1740" spans="2:12" ht="15" customHeight="1" x14ac:dyDescent="0.2">
      <c r="B1740" s="250" t="s">
        <v>2691</v>
      </c>
      <c r="C1740" s="250" t="s">
        <v>1282</v>
      </c>
      <c r="D1740" s="250" t="s">
        <v>699</v>
      </c>
      <c r="K1740" s="250">
        <v>1</v>
      </c>
      <c r="L1740" s="250">
        <v>11035</v>
      </c>
    </row>
    <row r="1741" spans="2:12" ht="15" customHeight="1" x14ac:dyDescent="0.2">
      <c r="B1741" s="250" t="s">
        <v>2692</v>
      </c>
      <c r="C1741" s="250" t="s">
        <v>1282</v>
      </c>
      <c r="D1741" s="250" t="s">
        <v>699</v>
      </c>
      <c r="K1741" s="250">
        <v>1</v>
      </c>
      <c r="L1741" s="250">
        <v>11245</v>
      </c>
    </row>
    <row r="1742" spans="2:12" ht="15" customHeight="1" x14ac:dyDescent="0.2">
      <c r="B1742" s="250" t="s">
        <v>2693</v>
      </c>
      <c r="C1742" s="250" t="s">
        <v>1282</v>
      </c>
      <c r="D1742" s="250" t="s">
        <v>699</v>
      </c>
      <c r="K1742" s="250">
        <v>1</v>
      </c>
      <c r="L1742" s="250">
        <v>12505</v>
      </c>
    </row>
    <row r="1743" spans="2:12" ht="15" customHeight="1" x14ac:dyDescent="0.2">
      <c r="B1743" s="250" t="s">
        <v>2694</v>
      </c>
      <c r="C1743" s="250" t="s">
        <v>1282</v>
      </c>
      <c r="D1743" s="250" t="s">
        <v>699</v>
      </c>
      <c r="K1743" s="250">
        <v>1</v>
      </c>
      <c r="L1743" s="250">
        <v>12715</v>
      </c>
    </row>
    <row r="1744" spans="2:12" ht="15" customHeight="1" x14ac:dyDescent="0.2">
      <c r="B1744" s="250" t="s">
        <v>2695</v>
      </c>
      <c r="C1744" s="250" t="s">
        <v>1282</v>
      </c>
      <c r="D1744" s="250" t="s">
        <v>699</v>
      </c>
      <c r="K1744" s="250">
        <v>1</v>
      </c>
      <c r="L1744" s="250">
        <v>14920</v>
      </c>
    </row>
    <row r="1745" spans="2:12" ht="15" customHeight="1" x14ac:dyDescent="0.2">
      <c r="B1745" s="250" t="s">
        <v>2696</v>
      </c>
      <c r="C1745" s="250" t="s">
        <v>1282</v>
      </c>
      <c r="D1745" s="250" t="s">
        <v>699</v>
      </c>
      <c r="K1745" s="250">
        <v>1</v>
      </c>
      <c r="L1745" s="250">
        <v>14920</v>
      </c>
    </row>
    <row r="1746" spans="2:12" ht="15" customHeight="1" x14ac:dyDescent="0.2">
      <c r="B1746" s="250" t="s">
        <v>2697</v>
      </c>
      <c r="C1746" s="250" t="s">
        <v>1282</v>
      </c>
      <c r="D1746" s="250" t="s">
        <v>699</v>
      </c>
      <c r="K1746" s="250">
        <v>1</v>
      </c>
      <c r="L1746" s="250">
        <v>15130</v>
      </c>
    </row>
    <row r="1747" spans="2:12" ht="15" customHeight="1" x14ac:dyDescent="0.2">
      <c r="B1747" s="250" t="s">
        <v>2698</v>
      </c>
      <c r="C1747" s="250" t="s">
        <v>1282</v>
      </c>
      <c r="D1747" s="250" t="s">
        <v>699</v>
      </c>
      <c r="K1747" s="250">
        <v>1</v>
      </c>
      <c r="L1747" s="250">
        <v>19225</v>
      </c>
    </row>
    <row r="1748" spans="2:12" ht="15" customHeight="1" x14ac:dyDescent="0.2">
      <c r="B1748" s="250" t="s">
        <v>2699</v>
      </c>
      <c r="C1748" s="250" t="s">
        <v>1282</v>
      </c>
      <c r="D1748" s="250" t="s">
        <v>699</v>
      </c>
      <c r="K1748" s="250">
        <v>1</v>
      </c>
      <c r="L1748" s="250">
        <v>19435</v>
      </c>
    </row>
    <row r="1749" spans="2:12" ht="15" customHeight="1" x14ac:dyDescent="0.2">
      <c r="B1749" s="250" t="s">
        <v>2700</v>
      </c>
      <c r="C1749" s="250" t="s">
        <v>1282</v>
      </c>
      <c r="D1749" s="250" t="s">
        <v>699</v>
      </c>
      <c r="K1749" s="250">
        <v>1</v>
      </c>
      <c r="L1749" s="250">
        <v>22690</v>
      </c>
    </row>
    <row r="1750" spans="2:12" ht="15" customHeight="1" x14ac:dyDescent="0.2">
      <c r="B1750" s="250" t="s">
        <v>2701</v>
      </c>
      <c r="C1750" s="250" t="s">
        <v>1282</v>
      </c>
      <c r="D1750" s="250" t="s">
        <v>699</v>
      </c>
      <c r="K1750" s="250">
        <v>1</v>
      </c>
      <c r="L1750" s="250">
        <v>24790</v>
      </c>
    </row>
    <row r="1751" spans="2:12" ht="15" customHeight="1" x14ac:dyDescent="0.2">
      <c r="B1751" s="250" t="s">
        <v>2702</v>
      </c>
      <c r="C1751" s="250" t="s">
        <v>1282</v>
      </c>
      <c r="D1751" s="250" t="s">
        <v>699</v>
      </c>
      <c r="K1751" s="250">
        <v>1</v>
      </c>
      <c r="L1751" s="250">
        <v>31405</v>
      </c>
    </row>
    <row r="1752" spans="2:12" ht="15" customHeight="1" x14ac:dyDescent="0.2">
      <c r="B1752" s="250" t="s">
        <v>2703</v>
      </c>
      <c r="C1752" s="250" t="s">
        <v>1282</v>
      </c>
      <c r="D1752" s="250" t="s">
        <v>699</v>
      </c>
      <c r="K1752" s="250">
        <v>1</v>
      </c>
      <c r="L1752" s="250">
        <v>27331</v>
      </c>
    </row>
    <row r="1753" spans="2:12" ht="15" customHeight="1" x14ac:dyDescent="0.2">
      <c r="B1753" s="250" t="s">
        <v>2704</v>
      </c>
      <c r="C1753" s="250" t="s">
        <v>1282</v>
      </c>
      <c r="D1753" s="250" t="s">
        <v>699</v>
      </c>
      <c r="K1753" s="250">
        <v>1</v>
      </c>
      <c r="L1753" s="250">
        <v>30387</v>
      </c>
    </row>
    <row r="1754" spans="2:12" ht="15" customHeight="1" x14ac:dyDescent="0.2">
      <c r="B1754" s="250" t="s">
        <v>2705</v>
      </c>
      <c r="C1754" s="250" t="s">
        <v>1282</v>
      </c>
      <c r="D1754" s="250" t="s">
        <v>699</v>
      </c>
      <c r="K1754" s="250">
        <v>1</v>
      </c>
      <c r="L1754" s="250">
        <v>4735</v>
      </c>
    </row>
    <row r="1755" spans="2:12" ht="15" customHeight="1" x14ac:dyDescent="0.2">
      <c r="B1755" s="250" t="s">
        <v>2706</v>
      </c>
      <c r="C1755" s="250" t="s">
        <v>1282</v>
      </c>
      <c r="D1755" s="250" t="s">
        <v>699</v>
      </c>
      <c r="K1755" s="250">
        <v>1</v>
      </c>
      <c r="L1755" s="250">
        <v>4840</v>
      </c>
    </row>
    <row r="1756" spans="2:12" ht="15" customHeight="1" x14ac:dyDescent="0.2">
      <c r="B1756" s="250" t="s">
        <v>2707</v>
      </c>
      <c r="C1756" s="250" t="s">
        <v>1282</v>
      </c>
      <c r="D1756" s="250" t="s">
        <v>699</v>
      </c>
      <c r="K1756" s="250">
        <v>1</v>
      </c>
      <c r="L1756" s="250">
        <v>5050</v>
      </c>
    </row>
    <row r="1757" spans="2:12" ht="15" customHeight="1" x14ac:dyDescent="0.2">
      <c r="B1757" s="250" t="s">
        <v>2708</v>
      </c>
      <c r="C1757" s="250" t="s">
        <v>1282</v>
      </c>
      <c r="D1757" s="250" t="s">
        <v>699</v>
      </c>
      <c r="K1757" s="250">
        <v>1</v>
      </c>
      <c r="L1757" s="250">
        <v>5155</v>
      </c>
    </row>
    <row r="1758" spans="2:12" ht="15" customHeight="1" x14ac:dyDescent="0.2">
      <c r="B1758" s="250" t="s">
        <v>2709</v>
      </c>
      <c r="C1758" s="250" t="s">
        <v>1282</v>
      </c>
      <c r="D1758" s="250" t="s">
        <v>699</v>
      </c>
      <c r="K1758" s="250">
        <v>1</v>
      </c>
      <c r="L1758" s="250">
        <v>5260</v>
      </c>
    </row>
    <row r="1759" spans="2:12" ht="15" customHeight="1" x14ac:dyDescent="0.2">
      <c r="B1759" s="250" t="s">
        <v>2710</v>
      </c>
      <c r="C1759" s="250" t="s">
        <v>1282</v>
      </c>
      <c r="D1759" s="250" t="s">
        <v>699</v>
      </c>
      <c r="K1759" s="250">
        <v>1</v>
      </c>
      <c r="L1759" s="250">
        <v>5628</v>
      </c>
    </row>
    <row r="1760" spans="2:12" ht="15" customHeight="1" x14ac:dyDescent="0.2">
      <c r="B1760" s="250" t="s">
        <v>2711</v>
      </c>
      <c r="C1760" s="250" t="s">
        <v>1282</v>
      </c>
      <c r="D1760" s="250" t="s">
        <v>699</v>
      </c>
      <c r="K1760" s="250">
        <v>1</v>
      </c>
      <c r="L1760" s="250">
        <v>5628</v>
      </c>
    </row>
    <row r="1761" spans="2:12" ht="15" customHeight="1" x14ac:dyDescent="0.2">
      <c r="B1761" s="250" t="s">
        <v>2712</v>
      </c>
      <c r="C1761" s="250" t="s">
        <v>1282</v>
      </c>
      <c r="D1761" s="250" t="s">
        <v>699</v>
      </c>
      <c r="K1761" s="250">
        <v>1</v>
      </c>
      <c r="L1761" s="250">
        <v>5733</v>
      </c>
    </row>
    <row r="1762" spans="2:12" ht="15" customHeight="1" x14ac:dyDescent="0.2">
      <c r="B1762" s="250" t="s">
        <v>2713</v>
      </c>
      <c r="C1762" s="250" t="s">
        <v>1282</v>
      </c>
      <c r="D1762" s="250" t="s">
        <v>699</v>
      </c>
      <c r="K1762" s="250">
        <v>1</v>
      </c>
      <c r="L1762" s="250">
        <v>6048</v>
      </c>
    </row>
    <row r="1763" spans="2:12" ht="15" customHeight="1" x14ac:dyDescent="0.2">
      <c r="B1763" s="250" t="s">
        <v>2714</v>
      </c>
      <c r="C1763" s="250" t="s">
        <v>1282</v>
      </c>
      <c r="D1763" s="250" t="s">
        <v>699</v>
      </c>
      <c r="K1763" s="250">
        <v>1</v>
      </c>
      <c r="L1763" s="250">
        <v>6153</v>
      </c>
    </row>
    <row r="1764" spans="2:12" ht="15" customHeight="1" x14ac:dyDescent="0.2">
      <c r="B1764" s="250" t="s">
        <v>2715</v>
      </c>
      <c r="C1764" s="250" t="s">
        <v>1282</v>
      </c>
      <c r="D1764" s="250" t="s">
        <v>699</v>
      </c>
      <c r="K1764" s="250">
        <v>1</v>
      </c>
      <c r="L1764" s="250">
        <v>6258</v>
      </c>
    </row>
    <row r="1765" spans="2:12" ht="15" customHeight="1" x14ac:dyDescent="0.2">
      <c r="B1765" s="250" t="s">
        <v>2716</v>
      </c>
      <c r="C1765" s="250" t="s">
        <v>1282</v>
      </c>
      <c r="D1765" s="250" t="s">
        <v>699</v>
      </c>
      <c r="K1765" s="250">
        <v>1</v>
      </c>
      <c r="L1765" s="250">
        <v>6520</v>
      </c>
    </row>
    <row r="1766" spans="2:12" ht="15" customHeight="1" x14ac:dyDescent="0.2">
      <c r="B1766" s="250" t="s">
        <v>2717</v>
      </c>
      <c r="C1766" s="250" t="s">
        <v>1282</v>
      </c>
      <c r="D1766" s="250" t="s">
        <v>699</v>
      </c>
      <c r="K1766" s="250">
        <v>1</v>
      </c>
      <c r="L1766" s="250">
        <v>6625</v>
      </c>
    </row>
    <row r="1767" spans="2:12" ht="15" customHeight="1" x14ac:dyDescent="0.2">
      <c r="B1767" s="250" t="s">
        <v>2718</v>
      </c>
      <c r="C1767" s="250" t="s">
        <v>1282</v>
      </c>
      <c r="D1767" s="250" t="s">
        <v>699</v>
      </c>
      <c r="K1767" s="250">
        <v>1</v>
      </c>
      <c r="L1767" s="250">
        <v>6730</v>
      </c>
    </row>
    <row r="1768" spans="2:12" ht="15" customHeight="1" x14ac:dyDescent="0.2">
      <c r="B1768" s="250" t="s">
        <v>2719</v>
      </c>
      <c r="C1768" s="250" t="s">
        <v>1282</v>
      </c>
      <c r="D1768" s="250" t="s">
        <v>699</v>
      </c>
      <c r="K1768" s="250">
        <v>1</v>
      </c>
      <c r="L1768" s="250">
        <v>7255</v>
      </c>
    </row>
    <row r="1769" spans="2:12" ht="15" customHeight="1" x14ac:dyDescent="0.2">
      <c r="B1769" s="250" t="s">
        <v>2720</v>
      </c>
      <c r="C1769" s="250" t="s">
        <v>1282</v>
      </c>
      <c r="D1769" s="250" t="s">
        <v>699</v>
      </c>
      <c r="K1769" s="250">
        <v>1</v>
      </c>
      <c r="L1769" s="250">
        <v>7360</v>
      </c>
    </row>
    <row r="1770" spans="2:12" ht="15" customHeight="1" x14ac:dyDescent="0.2">
      <c r="B1770" s="250" t="s">
        <v>2721</v>
      </c>
      <c r="C1770" s="250" t="s">
        <v>1282</v>
      </c>
      <c r="D1770" s="250" t="s">
        <v>699</v>
      </c>
      <c r="K1770" s="250">
        <v>1</v>
      </c>
      <c r="L1770" s="250">
        <v>7990</v>
      </c>
    </row>
    <row r="1771" spans="2:12" ht="15" customHeight="1" x14ac:dyDescent="0.2">
      <c r="B1771" s="250" t="s">
        <v>2722</v>
      </c>
      <c r="C1771" s="250" t="s">
        <v>1282</v>
      </c>
      <c r="D1771" s="250" t="s">
        <v>699</v>
      </c>
      <c r="K1771" s="250">
        <v>1</v>
      </c>
      <c r="L1771" s="250">
        <v>8200</v>
      </c>
    </row>
    <row r="1772" spans="2:12" ht="15" customHeight="1" x14ac:dyDescent="0.2">
      <c r="B1772" s="250" t="s">
        <v>2723</v>
      </c>
      <c r="C1772" s="250" t="s">
        <v>1282</v>
      </c>
      <c r="D1772" s="250" t="s">
        <v>699</v>
      </c>
      <c r="K1772" s="250">
        <v>1</v>
      </c>
      <c r="L1772" s="250">
        <v>8988</v>
      </c>
    </row>
    <row r="1773" spans="2:12" ht="15" customHeight="1" x14ac:dyDescent="0.2">
      <c r="B1773" s="250" t="s">
        <v>2724</v>
      </c>
      <c r="C1773" s="250" t="s">
        <v>1282</v>
      </c>
      <c r="D1773" s="250" t="s">
        <v>699</v>
      </c>
      <c r="K1773" s="250">
        <v>1</v>
      </c>
      <c r="L1773" s="250">
        <v>9198</v>
      </c>
    </row>
    <row r="1774" spans="2:12" ht="15" customHeight="1" x14ac:dyDescent="0.2">
      <c r="B1774" s="250" t="s">
        <v>1290</v>
      </c>
      <c r="C1774" s="250" t="s">
        <v>1282</v>
      </c>
      <c r="D1774" s="250" t="s">
        <v>58</v>
      </c>
      <c r="K1774" s="250">
        <v>1</v>
      </c>
      <c r="L1774" s="250">
        <v>66</v>
      </c>
    </row>
    <row r="1775" spans="2:12" ht="15" customHeight="1" x14ac:dyDescent="0.2">
      <c r="B1775" s="250" t="s">
        <v>2633</v>
      </c>
      <c r="C1775" s="250" t="s">
        <v>1282</v>
      </c>
      <c r="D1775" s="250" t="s">
        <v>58</v>
      </c>
      <c r="K1775" s="250">
        <v>1</v>
      </c>
      <c r="L1775" s="250">
        <v>86</v>
      </c>
    </row>
    <row r="1776" spans="2:12" ht="15" customHeight="1" x14ac:dyDescent="0.2">
      <c r="B1776" s="250" t="s">
        <v>1292</v>
      </c>
      <c r="C1776" s="250" t="s">
        <v>1282</v>
      </c>
      <c r="D1776" s="250" t="s">
        <v>58</v>
      </c>
      <c r="K1776" s="250">
        <v>1</v>
      </c>
      <c r="L1776" s="250">
        <v>143</v>
      </c>
    </row>
    <row r="1777" spans="2:12" ht="15" customHeight="1" x14ac:dyDescent="0.2">
      <c r="B1777" s="250" t="s">
        <v>1293</v>
      </c>
      <c r="C1777" s="250" t="s">
        <v>1282</v>
      </c>
      <c r="D1777" s="250" t="s">
        <v>58</v>
      </c>
      <c r="K1777" s="250">
        <v>1</v>
      </c>
      <c r="L1777" s="250">
        <v>329</v>
      </c>
    </row>
    <row r="1778" spans="2:12" ht="15" customHeight="1" x14ac:dyDescent="0.2">
      <c r="B1778" s="250" t="s">
        <v>1294</v>
      </c>
      <c r="C1778" s="250" t="s">
        <v>1282</v>
      </c>
      <c r="D1778" s="250" t="s">
        <v>58</v>
      </c>
      <c r="K1778" s="250">
        <v>1</v>
      </c>
      <c r="L1778" s="250">
        <v>504</v>
      </c>
    </row>
    <row r="1779" spans="2:12" ht="15" customHeight="1" x14ac:dyDescent="0.2">
      <c r="B1779" s="250" t="s">
        <v>1291</v>
      </c>
      <c r="C1779" s="250" t="s">
        <v>1282</v>
      </c>
      <c r="D1779" s="250" t="s">
        <v>58</v>
      </c>
      <c r="K1779" s="250">
        <v>1</v>
      </c>
      <c r="L1779" s="250">
        <v>72</v>
      </c>
    </row>
    <row r="1780" spans="2:12" ht="15" customHeight="1" x14ac:dyDescent="0.2">
      <c r="B1780" s="250" t="s">
        <v>2634</v>
      </c>
      <c r="C1780" s="250" t="s">
        <v>1282</v>
      </c>
      <c r="D1780" s="250" t="s">
        <v>58</v>
      </c>
      <c r="K1780" s="250">
        <v>1</v>
      </c>
      <c r="L1780" s="250">
        <v>96</v>
      </c>
    </row>
    <row r="1781" spans="2:12" ht="15" customHeight="1" x14ac:dyDescent="0.2">
      <c r="B1781" s="250" t="s">
        <v>30</v>
      </c>
      <c r="C1781" s="250" t="s">
        <v>1282</v>
      </c>
      <c r="D1781" s="250" t="s">
        <v>58</v>
      </c>
      <c r="K1781" s="250">
        <v>1</v>
      </c>
      <c r="L1781" s="250">
        <v>158</v>
      </c>
    </row>
    <row r="1782" spans="2:12" ht="15" customHeight="1" x14ac:dyDescent="0.2">
      <c r="B1782" s="250" t="s">
        <v>27</v>
      </c>
      <c r="C1782" s="250" t="s">
        <v>1282</v>
      </c>
      <c r="D1782" s="250" t="s">
        <v>58</v>
      </c>
      <c r="K1782" s="250">
        <v>1</v>
      </c>
      <c r="L1782" s="250">
        <v>329</v>
      </c>
    </row>
    <row r="1783" spans="2:12" ht="15" customHeight="1" x14ac:dyDescent="0.2">
      <c r="B1783" s="250" t="s">
        <v>55</v>
      </c>
      <c r="C1783" s="250" t="s">
        <v>1282</v>
      </c>
      <c r="D1783" s="250" t="s">
        <v>58</v>
      </c>
      <c r="K1783" s="250">
        <v>1</v>
      </c>
      <c r="L1783" s="250">
        <v>504</v>
      </c>
    </row>
    <row r="1784" spans="2:12" ht="15" customHeight="1" x14ac:dyDescent="0.2">
      <c r="B1784" s="250" t="s">
        <v>1295</v>
      </c>
      <c r="C1784" s="250" t="s">
        <v>1282</v>
      </c>
      <c r="D1784" s="250" t="s">
        <v>58</v>
      </c>
      <c r="K1784" s="250">
        <v>1</v>
      </c>
      <c r="L1784" s="250">
        <v>669</v>
      </c>
    </row>
    <row r="1785" spans="2:12" ht="15" customHeight="1" x14ac:dyDescent="0.2">
      <c r="B1785" s="250" t="s">
        <v>2635</v>
      </c>
      <c r="C1785" s="250" t="s">
        <v>1282</v>
      </c>
      <c r="D1785" s="250" t="s">
        <v>58</v>
      </c>
      <c r="K1785" s="250">
        <v>1</v>
      </c>
      <c r="L1785" s="250">
        <v>1523</v>
      </c>
    </row>
    <row r="1786" spans="2:12" ht="15" customHeight="1" x14ac:dyDescent="0.2">
      <c r="B1786" s="250" t="s">
        <v>2636</v>
      </c>
      <c r="C1786" s="250" t="s">
        <v>1282</v>
      </c>
      <c r="D1786" s="250" t="s">
        <v>58</v>
      </c>
      <c r="K1786" s="250">
        <v>1</v>
      </c>
      <c r="L1786" s="250">
        <v>222</v>
      </c>
    </row>
    <row r="1787" spans="2:12" ht="15" customHeight="1" x14ac:dyDescent="0.2">
      <c r="B1787" s="250" t="s">
        <v>1296</v>
      </c>
      <c r="C1787" s="250" t="s">
        <v>1282</v>
      </c>
      <c r="D1787" s="250" t="s">
        <v>58</v>
      </c>
      <c r="K1787" s="250">
        <v>1</v>
      </c>
      <c r="L1787" s="250">
        <v>294</v>
      </c>
    </row>
    <row r="1788" spans="2:12" ht="15" customHeight="1" x14ac:dyDescent="0.2">
      <c r="B1788" s="250" t="s">
        <v>1297</v>
      </c>
      <c r="C1788" s="250" t="s">
        <v>1282</v>
      </c>
      <c r="D1788" s="250" t="s">
        <v>58</v>
      </c>
      <c r="K1788" s="250">
        <v>1</v>
      </c>
      <c r="L1788" s="250">
        <v>738</v>
      </c>
    </row>
    <row r="1789" spans="2:12" ht="15" customHeight="1" x14ac:dyDescent="0.2">
      <c r="B1789" s="250" t="s">
        <v>1298</v>
      </c>
      <c r="C1789" s="250" t="s">
        <v>1282</v>
      </c>
      <c r="D1789" s="250" t="s">
        <v>58</v>
      </c>
      <c r="K1789" s="250">
        <v>1</v>
      </c>
      <c r="L1789" s="250">
        <v>914</v>
      </c>
    </row>
    <row r="1790" spans="2:12" ht="15" customHeight="1" x14ac:dyDescent="0.2">
      <c r="B1790" s="250" t="s">
        <v>1299</v>
      </c>
      <c r="C1790" s="250" t="s">
        <v>1282</v>
      </c>
      <c r="D1790" s="250" t="s">
        <v>58</v>
      </c>
      <c r="K1790" s="250">
        <v>1</v>
      </c>
      <c r="L1790" s="250">
        <v>1089</v>
      </c>
    </row>
    <row r="1791" spans="2:12" ht="15" customHeight="1" x14ac:dyDescent="0.2">
      <c r="B1791" s="250" t="s">
        <v>2637</v>
      </c>
      <c r="C1791" s="250" t="s">
        <v>1282</v>
      </c>
      <c r="D1791" s="250" t="s">
        <v>58</v>
      </c>
      <c r="K1791" s="250">
        <v>1</v>
      </c>
      <c r="L1791" s="250">
        <v>1169</v>
      </c>
    </row>
    <row r="1792" spans="2:12" ht="15" customHeight="1" x14ac:dyDescent="0.2">
      <c r="B1792" s="250" t="s">
        <v>2584</v>
      </c>
      <c r="C1792" s="250" t="s">
        <v>1282</v>
      </c>
      <c r="D1792" s="250" t="s">
        <v>58</v>
      </c>
      <c r="K1792" s="250">
        <v>1</v>
      </c>
      <c r="L1792" s="250">
        <v>1481</v>
      </c>
    </row>
    <row r="1793" spans="2:12" ht="15" customHeight="1" x14ac:dyDescent="0.2">
      <c r="B1793" s="250" t="s">
        <v>2638</v>
      </c>
      <c r="C1793" s="250" t="s">
        <v>1282</v>
      </c>
      <c r="D1793" s="250" t="s">
        <v>58</v>
      </c>
      <c r="K1793" s="250">
        <v>1</v>
      </c>
      <c r="L1793" s="250">
        <v>2769</v>
      </c>
    </row>
    <row r="1794" spans="2:12" ht="15" customHeight="1" x14ac:dyDescent="0.2">
      <c r="B1794" s="250" t="s">
        <v>2639</v>
      </c>
      <c r="C1794" s="250" t="s">
        <v>1282</v>
      </c>
      <c r="D1794" s="250" t="s">
        <v>58</v>
      </c>
      <c r="K1794" s="250">
        <v>1</v>
      </c>
      <c r="L1794" s="250">
        <v>244</v>
      </c>
    </row>
    <row r="1795" spans="2:12" ht="15" customHeight="1" x14ac:dyDescent="0.2">
      <c r="B1795" s="250" t="s">
        <v>2585</v>
      </c>
      <c r="C1795" s="250" t="s">
        <v>1282</v>
      </c>
      <c r="D1795" s="250" t="s">
        <v>58</v>
      </c>
      <c r="K1795" s="250">
        <v>1</v>
      </c>
      <c r="L1795" s="250">
        <v>342</v>
      </c>
    </row>
    <row r="1796" spans="2:12" ht="15" customHeight="1" x14ac:dyDescent="0.2">
      <c r="B1796" s="250" t="s">
        <v>2586</v>
      </c>
      <c r="C1796" s="250" t="s">
        <v>1282</v>
      </c>
      <c r="D1796" s="250" t="s">
        <v>58</v>
      </c>
      <c r="K1796" s="250">
        <v>1</v>
      </c>
      <c r="L1796" s="250">
        <v>759</v>
      </c>
    </row>
    <row r="1797" spans="2:12" ht="15" customHeight="1" x14ac:dyDescent="0.2">
      <c r="B1797" s="250" t="s">
        <v>2587</v>
      </c>
      <c r="C1797" s="250" t="s">
        <v>1282</v>
      </c>
      <c r="D1797" s="250" t="s">
        <v>58</v>
      </c>
      <c r="K1797" s="250">
        <v>1</v>
      </c>
      <c r="L1797" s="250">
        <v>1071</v>
      </c>
    </row>
    <row r="1798" spans="2:12" ht="15" customHeight="1" x14ac:dyDescent="0.2">
      <c r="B1798" s="250" t="s">
        <v>2640</v>
      </c>
      <c r="C1798" s="250" t="s">
        <v>1282</v>
      </c>
      <c r="D1798" s="250" t="s">
        <v>58</v>
      </c>
      <c r="K1798" s="250">
        <v>1</v>
      </c>
      <c r="L1798" s="250">
        <v>253</v>
      </c>
    </row>
    <row r="1799" spans="2:12" ht="15" customHeight="1" x14ac:dyDescent="0.2">
      <c r="B1799" s="250" t="s">
        <v>2588</v>
      </c>
      <c r="C1799" s="250" t="s">
        <v>1282</v>
      </c>
      <c r="D1799" s="250" t="s">
        <v>58</v>
      </c>
      <c r="K1799" s="250">
        <v>1</v>
      </c>
      <c r="L1799" s="250">
        <v>357</v>
      </c>
    </row>
    <row r="1800" spans="2:12" ht="15" customHeight="1" x14ac:dyDescent="0.2">
      <c r="B1800" s="250" t="s">
        <v>2589</v>
      </c>
      <c r="C1800" s="250" t="s">
        <v>1282</v>
      </c>
      <c r="D1800" s="250" t="s">
        <v>58</v>
      </c>
      <c r="K1800" s="250">
        <v>1</v>
      </c>
      <c r="L1800" s="250">
        <v>759</v>
      </c>
    </row>
    <row r="1801" spans="2:12" ht="15" customHeight="1" x14ac:dyDescent="0.2">
      <c r="B1801" s="250" t="s">
        <v>2590</v>
      </c>
      <c r="C1801" s="250" t="s">
        <v>1282</v>
      </c>
      <c r="D1801" s="250" t="s">
        <v>58</v>
      </c>
      <c r="K1801" s="250">
        <v>1</v>
      </c>
      <c r="L1801" s="250">
        <v>1071</v>
      </c>
    </row>
    <row r="1802" spans="2:12" ht="15" customHeight="1" x14ac:dyDescent="0.2">
      <c r="B1802" s="250" t="s">
        <v>2591</v>
      </c>
      <c r="C1802" s="250" t="s">
        <v>1282</v>
      </c>
      <c r="D1802" s="250" t="s">
        <v>58</v>
      </c>
      <c r="K1802" s="250">
        <v>1</v>
      </c>
      <c r="L1802" s="250">
        <v>1278</v>
      </c>
    </row>
    <row r="1803" spans="2:12" ht="15" customHeight="1" x14ac:dyDescent="0.2">
      <c r="B1803" s="250" t="s">
        <v>2641</v>
      </c>
      <c r="C1803" s="250" t="s">
        <v>1282</v>
      </c>
      <c r="D1803" s="250" t="s">
        <v>58</v>
      </c>
      <c r="K1803" s="250">
        <v>1</v>
      </c>
      <c r="L1803" s="250">
        <v>267</v>
      </c>
    </row>
    <row r="1804" spans="2:12" ht="15" customHeight="1" x14ac:dyDescent="0.2">
      <c r="B1804" s="250" t="s">
        <v>2592</v>
      </c>
      <c r="C1804" s="250" t="s">
        <v>1282</v>
      </c>
      <c r="D1804" s="250" t="s">
        <v>58</v>
      </c>
      <c r="K1804" s="250">
        <v>1</v>
      </c>
      <c r="L1804" s="250">
        <v>366</v>
      </c>
    </row>
    <row r="1805" spans="2:12" ht="15" customHeight="1" x14ac:dyDescent="0.2">
      <c r="B1805" s="250" t="s">
        <v>2593</v>
      </c>
      <c r="C1805" s="250" t="s">
        <v>1282</v>
      </c>
      <c r="D1805" s="250" t="s">
        <v>58</v>
      </c>
      <c r="K1805" s="250">
        <v>1</v>
      </c>
      <c r="L1805" s="250">
        <v>833</v>
      </c>
    </row>
    <row r="1806" spans="2:12" ht="15" customHeight="1" x14ac:dyDescent="0.2">
      <c r="B1806" s="250" t="s">
        <v>2594</v>
      </c>
      <c r="C1806" s="250" t="s">
        <v>1282</v>
      </c>
      <c r="D1806" s="250" t="s">
        <v>58</v>
      </c>
      <c r="K1806" s="250">
        <v>1</v>
      </c>
      <c r="L1806" s="250">
        <v>1155</v>
      </c>
    </row>
    <row r="1807" spans="2:12" ht="15" customHeight="1" x14ac:dyDescent="0.2">
      <c r="B1807" s="250" t="s">
        <v>2642</v>
      </c>
      <c r="C1807" s="250" t="s">
        <v>1282</v>
      </c>
      <c r="D1807" s="250" t="s">
        <v>58</v>
      </c>
      <c r="K1807" s="250">
        <v>1</v>
      </c>
      <c r="L1807" s="250">
        <v>276</v>
      </c>
    </row>
    <row r="1808" spans="2:12" ht="15" customHeight="1" x14ac:dyDescent="0.2">
      <c r="B1808" s="250" t="s">
        <v>2595</v>
      </c>
      <c r="C1808" s="250" t="s">
        <v>1282</v>
      </c>
      <c r="D1808" s="250" t="s">
        <v>58</v>
      </c>
      <c r="K1808" s="250">
        <v>1</v>
      </c>
      <c r="L1808" s="250">
        <v>381</v>
      </c>
    </row>
    <row r="1809" spans="2:12" ht="15" customHeight="1" x14ac:dyDescent="0.2">
      <c r="B1809" s="250" t="s">
        <v>2596</v>
      </c>
      <c r="C1809" s="250" t="s">
        <v>1282</v>
      </c>
      <c r="D1809" s="250" t="s">
        <v>58</v>
      </c>
      <c r="K1809" s="250">
        <v>1</v>
      </c>
      <c r="L1809" s="250">
        <v>833</v>
      </c>
    </row>
    <row r="1810" spans="2:12" ht="15" customHeight="1" x14ac:dyDescent="0.2">
      <c r="B1810" s="250" t="s">
        <v>2597</v>
      </c>
      <c r="C1810" s="250" t="s">
        <v>1282</v>
      </c>
      <c r="D1810" s="250" t="s">
        <v>58</v>
      </c>
      <c r="K1810" s="250">
        <v>1</v>
      </c>
      <c r="L1810" s="250">
        <v>1155</v>
      </c>
    </row>
    <row r="1811" spans="2:12" ht="15" customHeight="1" x14ac:dyDescent="0.2">
      <c r="B1811" s="250" t="s">
        <v>2598</v>
      </c>
      <c r="C1811" s="250" t="s">
        <v>1282</v>
      </c>
      <c r="D1811" s="250" t="s">
        <v>58</v>
      </c>
      <c r="K1811" s="250">
        <v>1</v>
      </c>
      <c r="L1811" s="250">
        <v>1377</v>
      </c>
    </row>
    <row r="1812" spans="2:12" ht="15" customHeight="1" x14ac:dyDescent="0.2">
      <c r="B1812" s="250" t="s">
        <v>1300</v>
      </c>
      <c r="C1812" s="250" t="s">
        <v>1282</v>
      </c>
      <c r="D1812" s="250" t="s">
        <v>58</v>
      </c>
      <c r="K1812" s="250">
        <v>1</v>
      </c>
      <c r="L1812" s="250">
        <v>669</v>
      </c>
    </row>
    <row r="1813" spans="2:12" ht="15" customHeight="1" x14ac:dyDescent="0.2">
      <c r="B1813" s="250" t="s">
        <v>1301</v>
      </c>
      <c r="C1813" s="250" t="s">
        <v>1282</v>
      </c>
      <c r="D1813" s="250" t="s">
        <v>58</v>
      </c>
      <c r="K1813" s="250">
        <v>1</v>
      </c>
      <c r="L1813" s="250">
        <v>100</v>
      </c>
    </row>
    <row r="1814" spans="2:12" ht="15" customHeight="1" x14ac:dyDescent="0.2">
      <c r="B1814" s="250" t="s">
        <v>2643</v>
      </c>
      <c r="C1814" s="250" t="s">
        <v>1282</v>
      </c>
      <c r="D1814" s="250" t="s">
        <v>58</v>
      </c>
      <c r="K1814" s="250">
        <v>1</v>
      </c>
      <c r="L1814" s="250">
        <v>148</v>
      </c>
    </row>
    <row r="1815" spans="2:12" ht="15" customHeight="1" x14ac:dyDescent="0.2">
      <c r="B1815" s="250" t="s">
        <v>1302</v>
      </c>
      <c r="C1815" s="250" t="s">
        <v>1282</v>
      </c>
      <c r="D1815" s="250" t="s">
        <v>58</v>
      </c>
      <c r="K1815" s="250">
        <v>1</v>
      </c>
      <c r="L1815" s="250">
        <v>125</v>
      </c>
    </row>
    <row r="1816" spans="2:12" ht="15" customHeight="1" x14ac:dyDescent="0.2">
      <c r="B1816" s="250" t="s">
        <v>1303</v>
      </c>
      <c r="C1816" s="250" t="s">
        <v>1282</v>
      </c>
      <c r="D1816" s="250" t="s">
        <v>58</v>
      </c>
      <c r="K1816" s="250">
        <v>1</v>
      </c>
      <c r="L1816" s="250">
        <v>215</v>
      </c>
    </row>
    <row r="1817" spans="2:12" ht="15" customHeight="1" x14ac:dyDescent="0.2">
      <c r="B1817" s="250" t="s">
        <v>1304</v>
      </c>
      <c r="C1817" s="250" t="s">
        <v>1282</v>
      </c>
      <c r="D1817" s="250" t="s">
        <v>58</v>
      </c>
      <c r="K1817" s="250">
        <v>1</v>
      </c>
      <c r="L1817" s="250">
        <v>478</v>
      </c>
    </row>
    <row r="1818" spans="2:12" ht="15" customHeight="1" x14ac:dyDescent="0.2">
      <c r="B1818" s="250" t="s">
        <v>1305</v>
      </c>
      <c r="C1818" s="250" t="s">
        <v>1282</v>
      </c>
      <c r="D1818" s="250" t="s">
        <v>58</v>
      </c>
      <c r="K1818" s="250">
        <v>1</v>
      </c>
      <c r="L1818" s="250">
        <v>717</v>
      </c>
    </row>
    <row r="1819" spans="2:12" ht="15" customHeight="1" x14ac:dyDescent="0.2">
      <c r="B1819" s="250" t="s">
        <v>1306</v>
      </c>
      <c r="C1819" s="250" t="s">
        <v>1282</v>
      </c>
      <c r="D1819" s="250" t="s">
        <v>58</v>
      </c>
      <c r="K1819" s="250">
        <v>1</v>
      </c>
      <c r="L1819" s="250">
        <v>876</v>
      </c>
    </row>
    <row r="1820" spans="2:12" ht="15" customHeight="1" x14ac:dyDescent="0.2">
      <c r="B1820" s="250" t="s">
        <v>1307</v>
      </c>
      <c r="C1820" s="250" t="s">
        <v>1282</v>
      </c>
      <c r="D1820" s="250" t="s">
        <v>58</v>
      </c>
      <c r="K1820" s="250">
        <v>1</v>
      </c>
      <c r="L1820" s="250">
        <v>89</v>
      </c>
    </row>
    <row r="1821" spans="2:12" ht="15" customHeight="1" x14ac:dyDescent="0.2">
      <c r="B1821" s="250" t="s">
        <v>2644</v>
      </c>
      <c r="C1821" s="250" t="s">
        <v>1282</v>
      </c>
      <c r="D1821" s="250" t="s">
        <v>58</v>
      </c>
      <c r="K1821" s="250">
        <v>1</v>
      </c>
      <c r="L1821" s="250">
        <v>109</v>
      </c>
    </row>
    <row r="1822" spans="2:12" ht="15" customHeight="1" x14ac:dyDescent="0.2">
      <c r="B1822" s="250" t="s">
        <v>1308</v>
      </c>
      <c r="C1822" s="250" t="s">
        <v>1282</v>
      </c>
      <c r="D1822" s="250" t="s">
        <v>58</v>
      </c>
      <c r="K1822" s="250">
        <v>1</v>
      </c>
      <c r="L1822" s="250">
        <v>167</v>
      </c>
    </row>
    <row r="1823" spans="2:12" ht="15" customHeight="1" x14ac:dyDescent="0.2">
      <c r="B1823" s="250" t="s">
        <v>1309</v>
      </c>
      <c r="C1823" s="250" t="s">
        <v>1282</v>
      </c>
      <c r="D1823" s="250" t="s">
        <v>58</v>
      </c>
      <c r="K1823" s="250">
        <v>1</v>
      </c>
      <c r="L1823" s="250">
        <v>402</v>
      </c>
    </row>
    <row r="1824" spans="2:12" ht="15" customHeight="1" x14ac:dyDescent="0.2">
      <c r="B1824" s="250" t="s">
        <v>1310</v>
      </c>
      <c r="C1824" s="250" t="s">
        <v>1282</v>
      </c>
      <c r="D1824" s="250" t="s">
        <v>58</v>
      </c>
      <c r="K1824" s="250">
        <v>1</v>
      </c>
      <c r="L1824" s="250">
        <v>588</v>
      </c>
    </row>
    <row r="1825" spans="2:12" ht="15" customHeight="1" x14ac:dyDescent="0.2">
      <c r="B1825" s="250" t="s">
        <v>1311</v>
      </c>
      <c r="C1825" s="250" t="s">
        <v>1282</v>
      </c>
      <c r="D1825" s="250" t="s">
        <v>58</v>
      </c>
      <c r="K1825" s="250">
        <v>1</v>
      </c>
      <c r="L1825" s="250">
        <v>96</v>
      </c>
    </row>
    <row r="1826" spans="2:12" ht="15" customHeight="1" x14ac:dyDescent="0.2">
      <c r="B1826" s="250" t="s">
        <v>2645</v>
      </c>
      <c r="C1826" s="250" t="s">
        <v>1282</v>
      </c>
      <c r="D1826" s="250" t="s">
        <v>58</v>
      </c>
      <c r="K1826" s="250">
        <v>1</v>
      </c>
      <c r="L1826" s="250">
        <v>119</v>
      </c>
    </row>
    <row r="1827" spans="2:12" ht="15" customHeight="1" x14ac:dyDescent="0.2">
      <c r="B1827" s="250" t="s">
        <v>1312</v>
      </c>
      <c r="C1827" s="250" t="s">
        <v>1282</v>
      </c>
      <c r="D1827" s="250" t="s">
        <v>58</v>
      </c>
      <c r="K1827" s="250">
        <v>1</v>
      </c>
      <c r="L1827" s="250">
        <v>182</v>
      </c>
    </row>
    <row r="1828" spans="2:12" ht="15" customHeight="1" x14ac:dyDescent="0.2">
      <c r="B1828" s="250" t="s">
        <v>1313</v>
      </c>
      <c r="C1828" s="250" t="s">
        <v>1282</v>
      </c>
      <c r="D1828" s="250" t="s">
        <v>58</v>
      </c>
      <c r="K1828" s="250">
        <v>1</v>
      </c>
      <c r="L1828" s="250">
        <v>402</v>
      </c>
    </row>
    <row r="1829" spans="2:12" ht="15" customHeight="1" x14ac:dyDescent="0.2">
      <c r="B1829" s="250" t="s">
        <v>1314</v>
      </c>
      <c r="C1829" s="250" t="s">
        <v>1282</v>
      </c>
      <c r="D1829" s="250" t="s">
        <v>58</v>
      </c>
      <c r="K1829" s="250">
        <v>1</v>
      </c>
      <c r="L1829" s="250">
        <v>588</v>
      </c>
    </row>
    <row r="1830" spans="2:12" ht="15" customHeight="1" x14ac:dyDescent="0.2">
      <c r="B1830" s="250" t="s">
        <v>1315</v>
      </c>
      <c r="C1830" s="250" t="s">
        <v>1282</v>
      </c>
      <c r="D1830" s="250" t="s">
        <v>58</v>
      </c>
      <c r="K1830" s="250">
        <v>1</v>
      </c>
      <c r="L1830" s="250">
        <v>768</v>
      </c>
    </row>
    <row r="1831" spans="2:12" ht="15" customHeight="1" x14ac:dyDescent="0.2">
      <c r="B1831" s="250" t="s">
        <v>1316</v>
      </c>
      <c r="C1831" s="250" t="s">
        <v>1282</v>
      </c>
      <c r="D1831" s="250" t="s">
        <v>58</v>
      </c>
      <c r="K1831" s="250">
        <v>1</v>
      </c>
      <c r="L1831" s="250">
        <v>79</v>
      </c>
    </row>
    <row r="1832" spans="2:12" ht="15" customHeight="1" x14ac:dyDescent="0.2">
      <c r="B1832" s="250" t="s">
        <v>1317</v>
      </c>
      <c r="C1832" s="250" t="s">
        <v>1282</v>
      </c>
      <c r="D1832" s="250" t="s">
        <v>58</v>
      </c>
      <c r="K1832" s="250">
        <v>1</v>
      </c>
      <c r="L1832" s="250">
        <v>85</v>
      </c>
    </row>
    <row r="1833" spans="2:12" ht="15" customHeight="1" x14ac:dyDescent="0.2">
      <c r="B1833" s="250" t="s">
        <v>2646</v>
      </c>
      <c r="C1833" s="250" t="s">
        <v>1282</v>
      </c>
      <c r="D1833" s="250" t="s">
        <v>58</v>
      </c>
      <c r="K1833" s="250">
        <v>1</v>
      </c>
      <c r="L1833" s="250">
        <v>99</v>
      </c>
    </row>
    <row r="1834" spans="2:12" ht="15" customHeight="1" x14ac:dyDescent="0.2">
      <c r="B1834" s="250" t="s">
        <v>1318</v>
      </c>
      <c r="C1834" s="250" t="s">
        <v>1282</v>
      </c>
      <c r="D1834" s="250" t="s">
        <v>58</v>
      </c>
      <c r="K1834" s="250">
        <v>1</v>
      </c>
      <c r="L1834" s="250">
        <v>156</v>
      </c>
    </row>
    <row r="1835" spans="2:12" ht="15" customHeight="1" x14ac:dyDescent="0.2">
      <c r="B1835" s="250" t="s">
        <v>1319</v>
      </c>
      <c r="C1835" s="250" t="s">
        <v>1282</v>
      </c>
      <c r="D1835" s="250" t="s">
        <v>58</v>
      </c>
      <c r="K1835" s="250">
        <v>1</v>
      </c>
      <c r="L1835" s="250">
        <v>381</v>
      </c>
    </row>
    <row r="1836" spans="2:12" ht="15" customHeight="1" x14ac:dyDescent="0.2">
      <c r="B1836" s="250" t="s">
        <v>1320</v>
      </c>
      <c r="C1836" s="250" t="s">
        <v>1282</v>
      </c>
      <c r="D1836" s="250" t="s">
        <v>58</v>
      </c>
      <c r="K1836" s="250">
        <v>1</v>
      </c>
      <c r="L1836" s="250">
        <v>567</v>
      </c>
    </row>
    <row r="1837" spans="2:12" ht="15" customHeight="1" x14ac:dyDescent="0.2">
      <c r="B1837" s="250" t="s">
        <v>2647</v>
      </c>
      <c r="C1837" s="250" t="s">
        <v>1282</v>
      </c>
      <c r="D1837" s="250" t="s">
        <v>58</v>
      </c>
      <c r="K1837" s="250">
        <v>1</v>
      </c>
      <c r="L1837" s="250">
        <v>108</v>
      </c>
    </row>
    <row r="1838" spans="2:12" ht="15" customHeight="1" x14ac:dyDescent="0.2">
      <c r="B1838" s="250" t="s">
        <v>1321</v>
      </c>
      <c r="C1838" s="250" t="s">
        <v>1282</v>
      </c>
      <c r="D1838" s="250" t="s">
        <v>58</v>
      </c>
      <c r="K1838" s="250">
        <v>1</v>
      </c>
      <c r="L1838" s="250">
        <v>171</v>
      </c>
    </row>
    <row r="1839" spans="2:12" ht="15" customHeight="1" x14ac:dyDescent="0.2">
      <c r="B1839" s="250" t="s">
        <v>1322</v>
      </c>
      <c r="C1839" s="250" t="s">
        <v>1282</v>
      </c>
      <c r="D1839" s="250" t="s">
        <v>58</v>
      </c>
      <c r="K1839" s="250">
        <v>1</v>
      </c>
      <c r="L1839" s="250">
        <v>381</v>
      </c>
    </row>
    <row r="1840" spans="2:12" ht="15" customHeight="1" x14ac:dyDescent="0.2">
      <c r="B1840" s="250" t="s">
        <v>1323</v>
      </c>
      <c r="C1840" s="250" t="s">
        <v>1282</v>
      </c>
      <c r="D1840" s="250" t="s">
        <v>58</v>
      </c>
      <c r="K1840" s="250">
        <v>1</v>
      </c>
      <c r="L1840" s="250">
        <v>567</v>
      </c>
    </row>
    <row r="1841" spans="2:12" ht="15" customHeight="1" x14ac:dyDescent="0.2">
      <c r="B1841" s="250" t="s">
        <v>1324</v>
      </c>
      <c r="C1841" s="250" t="s">
        <v>1282</v>
      </c>
      <c r="D1841" s="250" t="s">
        <v>58</v>
      </c>
      <c r="K1841" s="250">
        <v>1</v>
      </c>
      <c r="L1841" s="250">
        <v>742</v>
      </c>
    </row>
    <row r="1842" spans="2:12" ht="15" customHeight="1" x14ac:dyDescent="0.2">
      <c r="B1842" s="250" t="s">
        <v>1325</v>
      </c>
      <c r="C1842" s="250" t="s">
        <v>1282</v>
      </c>
      <c r="D1842" s="250" t="s">
        <v>58</v>
      </c>
      <c r="K1842" s="250">
        <v>1</v>
      </c>
      <c r="L1842" s="250">
        <v>77</v>
      </c>
    </row>
    <row r="1843" spans="2:12" ht="15" customHeight="1" x14ac:dyDescent="0.2">
      <c r="B1843" s="250" t="s">
        <v>2648</v>
      </c>
      <c r="C1843" s="250" t="s">
        <v>1282</v>
      </c>
      <c r="D1843" s="250" t="s">
        <v>58</v>
      </c>
      <c r="K1843" s="250">
        <v>1</v>
      </c>
      <c r="L1843" s="250">
        <v>97</v>
      </c>
    </row>
    <row r="1844" spans="2:12" ht="15" customHeight="1" x14ac:dyDescent="0.2">
      <c r="B1844" s="250" t="s">
        <v>1327</v>
      </c>
      <c r="C1844" s="250" t="s">
        <v>1282</v>
      </c>
      <c r="D1844" s="250" t="s">
        <v>58</v>
      </c>
      <c r="K1844" s="250">
        <v>1</v>
      </c>
      <c r="L1844" s="250">
        <v>153</v>
      </c>
    </row>
    <row r="1845" spans="2:12" ht="15" customHeight="1" x14ac:dyDescent="0.2">
      <c r="B1845" s="250" t="s">
        <v>1328</v>
      </c>
      <c r="C1845" s="250" t="s">
        <v>1282</v>
      </c>
      <c r="D1845" s="250" t="s">
        <v>58</v>
      </c>
      <c r="K1845" s="250">
        <v>1</v>
      </c>
      <c r="L1845" s="250">
        <v>350</v>
      </c>
    </row>
    <row r="1846" spans="2:12" ht="15" customHeight="1" x14ac:dyDescent="0.2">
      <c r="B1846" s="250" t="s">
        <v>1329</v>
      </c>
      <c r="C1846" s="250" t="s">
        <v>1282</v>
      </c>
      <c r="D1846" s="250" t="s">
        <v>58</v>
      </c>
      <c r="K1846" s="250">
        <v>1</v>
      </c>
      <c r="L1846" s="250">
        <v>525</v>
      </c>
    </row>
    <row r="1847" spans="2:12" ht="15" customHeight="1" x14ac:dyDescent="0.2">
      <c r="B1847" s="250" t="s">
        <v>1326</v>
      </c>
      <c r="C1847" s="250" t="s">
        <v>1282</v>
      </c>
      <c r="D1847" s="250" t="s">
        <v>58</v>
      </c>
      <c r="K1847" s="250">
        <v>1</v>
      </c>
      <c r="L1847" s="250">
        <v>83</v>
      </c>
    </row>
    <row r="1848" spans="2:12" ht="15" customHeight="1" x14ac:dyDescent="0.2">
      <c r="B1848" s="250" t="s">
        <v>2649</v>
      </c>
      <c r="C1848" s="250" t="s">
        <v>1282</v>
      </c>
      <c r="D1848" s="250" t="s">
        <v>58</v>
      </c>
      <c r="K1848" s="250">
        <v>1</v>
      </c>
      <c r="L1848" s="250">
        <v>106</v>
      </c>
    </row>
    <row r="1849" spans="2:12" ht="15" customHeight="1" x14ac:dyDescent="0.2">
      <c r="B1849" s="250" t="s">
        <v>1330</v>
      </c>
      <c r="C1849" s="250" t="s">
        <v>1282</v>
      </c>
      <c r="D1849" s="250" t="s">
        <v>58</v>
      </c>
      <c r="K1849" s="250">
        <v>1</v>
      </c>
      <c r="L1849" s="250">
        <v>168</v>
      </c>
    </row>
    <row r="1850" spans="2:12" ht="15" customHeight="1" x14ac:dyDescent="0.2">
      <c r="B1850" s="250" t="s">
        <v>1331</v>
      </c>
      <c r="C1850" s="250" t="s">
        <v>1282</v>
      </c>
      <c r="D1850" s="250" t="s">
        <v>58</v>
      </c>
      <c r="K1850" s="250">
        <v>1</v>
      </c>
      <c r="L1850" s="250">
        <v>350</v>
      </c>
    </row>
    <row r="1851" spans="2:12" ht="15" customHeight="1" x14ac:dyDescent="0.2">
      <c r="B1851" s="250" t="s">
        <v>1332</v>
      </c>
      <c r="C1851" s="250" t="s">
        <v>1282</v>
      </c>
      <c r="D1851" s="250" t="s">
        <v>58</v>
      </c>
      <c r="K1851" s="250">
        <v>1</v>
      </c>
      <c r="L1851" s="250">
        <v>525</v>
      </c>
    </row>
    <row r="1852" spans="2:12" ht="15" customHeight="1" x14ac:dyDescent="0.2">
      <c r="B1852" s="250" t="s">
        <v>1333</v>
      </c>
      <c r="C1852" s="250" t="s">
        <v>1282</v>
      </c>
      <c r="D1852" s="250" t="s">
        <v>58</v>
      </c>
      <c r="K1852" s="250">
        <v>1</v>
      </c>
      <c r="L1852" s="250">
        <v>694</v>
      </c>
    </row>
    <row r="1853" spans="2:12" ht="15" customHeight="1" x14ac:dyDescent="0.2">
      <c r="B1853" s="250" t="s">
        <v>2650</v>
      </c>
      <c r="C1853" s="250" t="s">
        <v>1282</v>
      </c>
      <c r="D1853" s="250" t="s">
        <v>58</v>
      </c>
      <c r="K1853" s="250">
        <v>1</v>
      </c>
      <c r="L1853" s="250">
        <v>368</v>
      </c>
    </row>
    <row r="1854" spans="2:12" ht="15" customHeight="1" x14ac:dyDescent="0.2">
      <c r="B1854" s="250" t="s">
        <v>2651</v>
      </c>
      <c r="C1854" s="250" t="s">
        <v>1282</v>
      </c>
      <c r="D1854" s="250" t="s">
        <v>58</v>
      </c>
      <c r="K1854" s="250">
        <v>1</v>
      </c>
      <c r="L1854" s="250">
        <v>473</v>
      </c>
    </row>
    <row r="1855" spans="2:12" ht="15" customHeight="1" x14ac:dyDescent="0.2">
      <c r="B1855" s="250" t="s">
        <v>2652</v>
      </c>
      <c r="C1855" s="250" t="s">
        <v>1282</v>
      </c>
      <c r="D1855" s="250" t="s">
        <v>58</v>
      </c>
      <c r="K1855" s="250">
        <v>1</v>
      </c>
      <c r="L1855" s="250">
        <v>735</v>
      </c>
    </row>
    <row r="1856" spans="2:12" ht="15" customHeight="1" x14ac:dyDescent="0.2">
      <c r="B1856" s="250" t="s">
        <v>2653</v>
      </c>
      <c r="C1856" s="250" t="s">
        <v>1282</v>
      </c>
      <c r="D1856" s="250" t="s">
        <v>58</v>
      </c>
      <c r="K1856" s="250">
        <v>1</v>
      </c>
      <c r="L1856" s="250">
        <v>998</v>
      </c>
    </row>
    <row r="1857" spans="2:12" ht="15" customHeight="1" x14ac:dyDescent="0.2">
      <c r="B1857" s="250" t="s">
        <v>2654</v>
      </c>
      <c r="C1857" s="250" t="s">
        <v>1282</v>
      </c>
      <c r="D1857" s="250" t="s">
        <v>58</v>
      </c>
      <c r="K1857" s="250">
        <v>1</v>
      </c>
      <c r="L1857" s="250">
        <v>1050</v>
      </c>
    </row>
    <row r="1858" spans="2:12" ht="15" customHeight="1" x14ac:dyDescent="0.2">
      <c r="B1858" s="250" t="s">
        <v>4175</v>
      </c>
      <c r="C1858" s="250" t="s">
        <v>1282</v>
      </c>
      <c r="D1858" s="250" t="s">
        <v>58</v>
      </c>
      <c r="K1858" s="250">
        <v>1</v>
      </c>
      <c r="L1858" s="250">
        <v>558</v>
      </c>
    </row>
    <row r="1859" spans="2:12" ht="15" customHeight="1" x14ac:dyDescent="0.2">
      <c r="B1859" s="250" t="s">
        <v>4176</v>
      </c>
      <c r="C1859" s="250" t="s">
        <v>1282</v>
      </c>
      <c r="D1859" s="250" t="s">
        <v>58</v>
      </c>
      <c r="K1859" s="250">
        <v>1</v>
      </c>
      <c r="L1859" s="250">
        <v>663</v>
      </c>
    </row>
    <row r="1860" spans="2:12" ht="15" customHeight="1" x14ac:dyDescent="0.2">
      <c r="B1860" s="250" t="s">
        <v>4177</v>
      </c>
      <c r="C1860" s="250" t="s">
        <v>1282</v>
      </c>
      <c r="D1860" s="250" t="s">
        <v>58</v>
      </c>
      <c r="K1860" s="250">
        <v>1</v>
      </c>
      <c r="L1860" s="250">
        <v>925</v>
      </c>
    </row>
    <row r="1861" spans="2:12" ht="15" customHeight="1" x14ac:dyDescent="0.2">
      <c r="B1861" s="250" t="s">
        <v>3924</v>
      </c>
      <c r="C1861" s="250" t="s">
        <v>1282</v>
      </c>
      <c r="D1861" s="250" t="s">
        <v>58</v>
      </c>
      <c r="K1861" s="250">
        <v>1</v>
      </c>
      <c r="L1861" s="250">
        <v>1188</v>
      </c>
    </row>
    <row r="1862" spans="2:12" ht="15" customHeight="1" x14ac:dyDescent="0.2">
      <c r="B1862" s="250" t="s">
        <v>4178</v>
      </c>
      <c r="C1862" s="250" t="s">
        <v>1282</v>
      </c>
      <c r="D1862" s="250" t="s">
        <v>58</v>
      </c>
      <c r="K1862" s="250">
        <v>1</v>
      </c>
      <c r="L1862" s="250">
        <v>1240</v>
      </c>
    </row>
    <row r="1863" spans="2:12" ht="15" customHeight="1" x14ac:dyDescent="0.2">
      <c r="B1863" s="250" t="s">
        <v>2655</v>
      </c>
      <c r="C1863" s="250" t="s">
        <v>1282</v>
      </c>
      <c r="D1863" s="250" t="s">
        <v>1334</v>
      </c>
      <c r="K1863" s="250">
        <v>1</v>
      </c>
      <c r="L1863" s="250">
        <v>386</v>
      </c>
    </row>
    <row r="1864" spans="2:12" ht="15" customHeight="1" x14ac:dyDescent="0.2">
      <c r="B1864" s="250" t="s">
        <v>2656</v>
      </c>
      <c r="C1864" s="250" t="s">
        <v>1282</v>
      </c>
      <c r="D1864" s="250" t="s">
        <v>1334</v>
      </c>
      <c r="K1864" s="250">
        <v>1</v>
      </c>
      <c r="L1864" s="250">
        <v>435</v>
      </c>
    </row>
    <row r="1865" spans="2:12" ht="15" customHeight="1" x14ac:dyDescent="0.2">
      <c r="B1865" s="250" t="s">
        <v>2657</v>
      </c>
      <c r="C1865" s="250" t="s">
        <v>1282</v>
      </c>
      <c r="D1865" s="250" t="s">
        <v>1334</v>
      </c>
      <c r="K1865" s="250">
        <v>1</v>
      </c>
      <c r="L1865" s="250">
        <v>459</v>
      </c>
    </row>
    <row r="1866" spans="2:12" ht="15" customHeight="1" x14ac:dyDescent="0.2">
      <c r="B1866" s="250" t="s">
        <v>2658</v>
      </c>
      <c r="C1866" s="250" t="s">
        <v>1282</v>
      </c>
      <c r="D1866" s="250" t="s">
        <v>1334</v>
      </c>
      <c r="K1866" s="250">
        <v>1</v>
      </c>
      <c r="L1866" s="250">
        <v>689</v>
      </c>
    </row>
    <row r="1867" spans="2:12" ht="15" customHeight="1" x14ac:dyDescent="0.2">
      <c r="B1867" s="250" t="s">
        <v>2659</v>
      </c>
      <c r="C1867" s="250" t="s">
        <v>1282</v>
      </c>
      <c r="D1867" s="250" t="s">
        <v>1334</v>
      </c>
      <c r="K1867" s="250">
        <v>1</v>
      </c>
      <c r="L1867" s="250">
        <v>725</v>
      </c>
    </row>
    <row r="1868" spans="2:12" ht="15" customHeight="1" x14ac:dyDescent="0.2">
      <c r="B1868" s="250" t="s">
        <v>2660</v>
      </c>
      <c r="C1868" s="250" t="s">
        <v>1282</v>
      </c>
      <c r="D1868" s="250" t="s">
        <v>1334</v>
      </c>
      <c r="K1868" s="250">
        <v>1</v>
      </c>
      <c r="L1868" s="250">
        <v>877</v>
      </c>
    </row>
    <row r="1869" spans="2:12" ht="15" customHeight="1" x14ac:dyDescent="0.2">
      <c r="B1869" s="250" t="s">
        <v>2661</v>
      </c>
      <c r="C1869" s="250" t="s">
        <v>1282</v>
      </c>
      <c r="D1869" s="250" t="s">
        <v>1334</v>
      </c>
      <c r="K1869" s="250">
        <v>1</v>
      </c>
      <c r="L1869" s="250">
        <v>1208</v>
      </c>
    </row>
    <row r="1870" spans="2:12" ht="15" customHeight="1" x14ac:dyDescent="0.2">
      <c r="B1870" s="250" t="s">
        <v>2662</v>
      </c>
      <c r="C1870" s="250" t="s">
        <v>1282</v>
      </c>
      <c r="D1870" s="250" t="s">
        <v>607</v>
      </c>
      <c r="K1870" s="250">
        <v>1</v>
      </c>
      <c r="L1870" s="250">
        <v>184</v>
      </c>
    </row>
    <row r="1871" spans="2:12" ht="15" customHeight="1" x14ac:dyDescent="0.2">
      <c r="B1871" s="250" t="s">
        <v>2663</v>
      </c>
      <c r="C1871" s="250" t="s">
        <v>1282</v>
      </c>
      <c r="D1871" s="250" t="s">
        <v>607</v>
      </c>
      <c r="K1871" s="250">
        <v>1</v>
      </c>
      <c r="L1871" s="250">
        <v>210</v>
      </c>
    </row>
    <row r="1872" spans="2:12" ht="15" customHeight="1" x14ac:dyDescent="0.2">
      <c r="B1872" s="250" t="s">
        <v>2664</v>
      </c>
      <c r="C1872" s="250" t="s">
        <v>1282</v>
      </c>
      <c r="D1872" s="250" t="s">
        <v>607</v>
      </c>
      <c r="K1872" s="250">
        <v>1</v>
      </c>
      <c r="L1872" s="250">
        <v>242</v>
      </c>
    </row>
    <row r="1873" spans="2:12" ht="15" customHeight="1" x14ac:dyDescent="0.2">
      <c r="B1873" s="250" t="s">
        <v>2665</v>
      </c>
      <c r="C1873" s="250" t="s">
        <v>1282</v>
      </c>
      <c r="D1873" s="250" t="s">
        <v>607</v>
      </c>
      <c r="K1873" s="250">
        <v>1</v>
      </c>
      <c r="L1873" s="250">
        <v>221</v>
      </c>
    </row>
    <row r="1874" spans="2:12" ht="15" customHeight="1" x14ac:dyDescent="0.2">
      <c r="B1874" s="250" t="s">
        <v>2666</v>
      </c>
      <c r="C1874" s="250" t="s">
        <v>1282</v>
      </c>
      <c r="D1874" s="250" t="s">
        <v>607</v>
      </c>
      <c r="K1874" s="250">
        <v>1</v>
      </c>
      <c r="L1874" s="250">
        <v>236</v>
      </c>
    </row>
    <row r="1875" spans="2:12" ht="15" customHeight="1" x14ac:dyDescent="0.2">
      <c r="B1875" s="250" t="s">
        <v>2667</v>
      </c>
      <c r="C1875" s="250" t="s">
        <v>1282</v>
      </c>
      <c r="D1875" s="250" t="s">
        <v>607</v>
      </c>
      <c r="K1875" s="250">
        <v>1</v>
      </c>
      <c r="L1875" s="250">
        <v>263</v>
      </c>
    </row>
    <row r="1876" spans="2:12" ht="15" customHeight="1" x14ac:dyDescent="0.2">
      <c r="B1876" s="250" t="s">
        <v>2668</v>
      </c>
      <c r="C1876" s="250" t="s">
        <v>1282</v>
      </c>
      <c r="D1876" s="250" t="s">
        <v>607</v>
      </c>
      <c r="K1876" s="250">
        <v>1</v>
      </c>
      <c r="L1876" s="250">
        <v>305</v>
      </c>
    </row>
    <row r="1877" spans="2:12" ht="15" customHeight="1" x14ac:dyDescent="0.2">
      <c r="B1877" s="250" t="s">
        <v>2669</v>
      </c>
      <c r="C1877" s="250" t="s">
        <v>1282</v>
      </c>
      <c r="D1877" s="250" t="s">
        <v>607</v>
      </c>
      <c r="K1877" s="250">
        <v>1</v>
      </c>
      <c r="L1877" s="250">
        <v>284</v>
      </c>
    </row>
    <row r="1878" spans="2:12" ht="15" customHeight="1" x14ac:dyDescent="0.2">
      <c r="B1878" s="250" t="s">
        <v>2670</v>
      </c>
      <c r="C1878" s="250" t="s">
        <v>1282</v>
      </c>
      <c r="D1878" s="250" t="s">
        <v>607</v>
      </c>
      <c r="K1878" s="250">
        <v>1</v>
      </c>
      <c r="L1878" s="250">
        <v>536</v>
      </c>
    </row>
    <row r="1879" spans="2:12" ht="15" customHeight="1" x14ac:dyDescent="0.2">
      <c r="B1879" s="250" t="s">
        <v>1900</v>
      </c>
      <c r="C1879" s="250" t="s">
        <v>1282</v>
      </c>
      <c r="D1879" s="250" t="s">
        <v>607</v>
      </c>
      <c r="K1879" s="250">
        <v>1</v>
      </c>
      <c r="L1879" s="250">
        <v>588</v>
      </c>
    </row>
    <row r="1880" spans="2:12" ht="15" customHeight="1" x14ac:dyDescent="0.2">
      <c r="B1880" s="250" t="s">
        <v>1901</v>
      </c>
      <c r="C1880" s="250" t="s">
        <v>1282</v>
      </c>
      <c r="D1880" s="250" t="s">
        <v>607</v>
      </c>
      <c r="K1880" s="250">
        <v>1</v>
      </c>
      <c r="L1880" s="250">
        <v>625</v>
      </c>
    </row>
    <row r="1881" spans="2:12" ht="15" customHeight="1" x14ac:dyDescent="0.2">
      <c r="B1881" s="250" t="s">
        <v>1902</v>
      </c>
      <c r="C1881" s="250" t="s">
        <v>1282</v>
      </c>
      <c r="D1881" s="250" t="s">
        <v>607</v>
      </c>
      <c r="K1881" s="250">
        <v>1</v>
      </c>
      <c r="L1881" s="250">
        <v>699</v>
      </c>
    </row>
    <row r="1882" spans="2:12" ht="15" customHeight="1" x14ac:dyDescent="0.2">
      <c r="B1882" s="250" t="s">
        <v>2671</v>
      </c>
      <c r="C1882" s="250" t="s">
        <v>1282</v>
      </c>
      <c r="D1882" s="250" t="s">
        <v>607</v>
      </c>
      <c r="K1882" s="250">
        <v>1</v>
      </c>
      <c r="L1882" s="250">
        <v>809</v>
      </c>
    </row>
    <row r="1883" spans="2:12" ht="15" customHeight="1" x14ac:dyDescent="0.2">
      <c r="B1883" s="250" t="s">
        <v>1903</v>
      </c>
      <c r="C1883" s="250" t="s">
        <v>1282</v>
      </c>
      <c r="D1883" s="250" t="s">
        <v>607</v>
      </c>
      <c r="K1883" s="250">
        <v>1</v>
      </c>
      <c r="L1883" s="250">
        <v>861</v>
      </c>
    </row>
    <row r="1884" spans="2:12" ht="15" customHeight="1" x14ac:dyDescent="0.2">
      <c r="B1884" s="250" t="s">
        <v>1904</v>
      </c>
      <c r="C1884" s="250" t="s">
        <v>1282</v>
      </c>
      <c r="D1884" s="250" t="s">
        <v>607</v>
      </c>
      <c r="K1884" s="250">
        <v>1</v>
      </c>
      <c r="L1884" s="250">
        <v>903</v>
      </c>
    </row>
    <row r="1885" spans="2:12" ht="15" customHeight="1" x14ac:dyDescent="0.2">
      <c r="B1885" s="250" t="s">
        <v>2672</v>
      </c>
      <c r="C1885" s="250" t="s">
        <v>1282</v>
      </c>
      <c r="D1885" s="250" t="s">
        <v>607</v>
      </c>
      <c r="K1885" s="250">
        <v>1</v>
      </c>
      <c r="L1885" s="250">
        <v>1155</v>
      </c>
    </row>
    <row r="1886" spans="2:12" ht="15" customHeight="1" x14ac:dyDescent="0.2">
      <c r="B1886" s="250" t="s">
        <v>1905</v>
      </c>
      <c r="C1886" s="250" t="s">
        <v>1282</v>
      </c>
      <c r="D1886" s="250" t="s">
        <v>607</v>
      </c>
      <c r="K1886" s="250">
        <v>1</v>
      </c>
      <c r="L1886" s="250">
        <v>1313</v>
      </c>
    </row>
    <row r="1887" spans="2:12" ht="15" customHeight="1" x14ac:dyDescent="0.2">
      <c r="B1887" s="250" t="s">
        <v>1906</v>
      </c>
      <c r="C1887" s="250" t="s">
        <v>1282</v>
      </c>
      <c r="D1887" s="250" t="s">
        <v>607</v>
      </c>
      <c r="K1887" s="250">
        <v>1</v>
      </c>
      <c r="L1887" s="250">
        <v>1418</v>
      </c>
    </row>
    <row r="1888" spans="2:12" ht="15" customHeight="1" x14ac:dyDescent="0.2">
      <c r="B1888" s="250" t="s">
        <v>1335</v>
      </c>
      <c r="C1888" s="250" t="s">
        <v>1282</v>
      </c>
      <c r="D1888" s="250" t="s">
        <v>60</v>
      </c>
      <c r="K1888" s="250">
        <v>1</v>
      </c>
      <c r="L1888" s="250">
        <v>22</v>
      </c>
    </row>
    <row r="1889" spans="2:12" ht="15" customHeight="1" x14ac:dyDescent="0.2">
      <c r="B1889" s="250" t="s">
        <v>1336</v>
      </c>
      <c r="C1889" s="250" t="s">
        <v>1282</v>
      </c>
      <c r="D1889" s="250" t="s">
        <v>60</v>
      </c>
      <c r="K1889" s="250">
        <v>1</v>
      </c>
      <c r="L1889" s="250">
        <v>22</v>
      </c>
    </row>
    <row r="1890" spans="2:12" ht="15" customHeight="1" x14ac:dyDescent="0.2">
      <c r="B1890" s="250" t="s">
        <v>1337</v>
      </c>
      <c r="C1890" s="250" t="s">
        <v>1282</v>
      </c>
      <c r="D1890" s="250" t="s">
        <v>60</v>
      </c>
      <c r="K1890" s="250">
        <v>1</v>
      </c>
      <c r="L1890" s="250">
        <v>30</v>
      </c>
    </row>
    <row r="1891" spans="2:12" ht="15" customHeight="1" x14ac:dyDescent="0.2">
      <c r="B1891" s="250" t="s">
        <v>1338</v>
      </c>
      <c r="C1891" s="250" t="s">
        <v>1282</v>
      </c>
      <c r="D1891" s="250" t="s">
        <v>60</v>
      </c>
      <c r="K1891" s="250">
        <v>1</v>
      </c>
      <c r="L1891" s="250">
        <v>30</v>
      </c>
    </row>
    <row r="1892" spans="2:12" ht="15" customHeight="1" x14ac:dyDescent="0.2">
      <c r="B1892" s="250" t="s">
        <v>1339</v>
      </c>
      <c r="C1892" s="250" t="s">
        <v>1282</v>
      </c>
      <c r="D1892" s="250" t="s">
        <v>60</v>
      </c>
      <c r="K1892" s="250">
        <v>1</v>
      </c>
      <c r="L1892" s="250">
        <v>63</v>
      </c>
    </row>
    <row r="1893" spans="2:12" ht="15" customHeight="1" x14ac:dyDescent="0.2">
      <c r="B1893" s="250" t="s">
        <v>1340</v>
      </c>
      <c r="C1893" s="250" t="s">
        <v>1282</v>
      </c>
      <c r="D1893" s="250" t="s">
        <v>60</v>
      </c>
      <c r="K1893" s="250">
        <v>1</v>
      </c>
      <c r="L1893" s="250">
        <v>63</v>
      </c>
    </row>
    <row r="1894" spans="2:12" ht="15" customHeight="1" x14ac:dyDescent="0.2">
      <c r="B1894" s="250" t="s">
        <v>1341</v>
      </c>
      <c r="C1894" s="250" t="s">
        <v>1282</v>
      </c>
      <c r="D1894" s="250" t="s">
        <v>60</v>
      </c>
      <c r="K1894" s="250">
        <v>1</v>
      </c>
      <c r="L1894" s="250">
        <v>90</v>
      </c>
    </row>
    <row r="1895" spans="2:12" ht="15" customHeight="1" x14ac:dyDescent="0.2">
      <c r="B1895" s="250" t="s">
        <v>1342</v>
      </c>
      <c r="C1895" s="250" t="s">
        <v>1282</v>
      </c>
      <c r="D1895" s="250" t="s">
        <v>60</v>
      </c>
      <c r="K1895" s="250">
        <v>1</v>
      </c>
      <c r="L1895" s="250">
        <v>90</v>
      </c>
    </row>
    <row r="1896" spans="2:12" ht="15" customHeight="1" x14ac:dyDescent="0.2">
      <c r="B1896" s="250" t="s">
        <v>1343</v>
      </c>
      <c r="C1896" s="250" t="s">
        <v>1282</v>
      </c>
      <c r="D1896" s="250" t="s">
        <v>60</v>
      </c>
      <c r="K1896" s="250">
        <v>1</v>
      </c>
      <c r="L1896" s="250">
        <v>194</v>
      </c>
    </row>
    <row r="1897" spans="2:12" ht="15" customHeight="1" x14ac:dyDescent="0.2">
      <c r="B1897" s="250" t="s">
        <v>1344</v>
      </c>
      <c r="C1897" s="250" t="s">
        <v>1282</v>
      </c>
      <c r="D1897" s="250" t="s">
        <v>60</v>
      </c>
      <c r="K1897" s="250">
        <v>1</v>
      </c>
      <c r="L1897" s="250">
        <v>194</v>
      </c>
    </row>
    <row r="1898" spans="2:12" ht="15" customHeight="1" x14ac:dyDescent="0.2">
      <c r="B1898" s="250" t="s">
        <v>1345</v>
      </c>
      <c r="C1898" s="250" t="s">
        <v>1282</v>
      </c>
      <c r="D1898" s="250" t="s">
        <v>60</v>
      </c>
      <c r="K1898" s="250">
        <v>1</v>
      </c>
      <c r="L1898" s="250">
        <v>257</v>
      </c>
    </row>
    <row r="1899" spans="2:12" ht="15" customHeight="1" x14ac:dyDescent="0.2">
      <c r="B1899" s="250" t="s">
        <v>1346</v>
      </c>
      <c r="C1899" s="250" t="s">
        <v>1282</v>
      </c>
      <c r="D1899" s="250" t="s">
        <v>60</v>
      </c>
      <c r="K1899" s="250">
        <v>1</v>
      </c>
      <c r="L1899" s="250">
        <v>257</v>
      </c>
    </row>
    <row r="1900" spans="2:12" ht="15" customHeight="1" x14ac:dyDescent="0.2">
      <c r="B1900" s="250" t="s">
        <v>1347</v>
      </c>
      <c r="C1900" s="250" t="s">
        <v>1282</v>
      </c>
      <c r="D1900" s="250" t="s">
        <v>60</v>
      </c>
      <c r="K1900" s="250">
        <v>1</v>
      </c>
      <c r="L1900" s="250">
        <v>719</v>
      </c>
    </row>
    <row r="1901" spans="2:12" ht="15" customHeight="1" x14ac:dyDescent="0.2">
      <c r="B1901" s="250" t="s">
        <v>1348</v>
      </c>
      <c r="C1901" s="250" t="s">
        <v>1282</v>
      </c>
      <c r="D1901" s="250" t="s">
        <v>60</v>
      </c>
      <c r="K1901" s="250">
        <v>1</v>
      </c>
      <c r="L1901" s="250">
        <v>719</v>
      </c>
    </row>
    <row r="1902" spans="2:12" ht="15" customHeight="1" x14ac:dyDescent="0.2">
      <c r="B1902" s="250" t="s">
        <v>1349</v>
      </c>
      <c r="C1902" s="250" t="s">
        <v>1282</v>
      </c>
      <c r="D1902" s="250" t="s">
        <v>60</v>
      </c>
      <c r="K1902" s="250">
        <v>1</v>
      </c>
      <c r="L1902" s="250">
        <v>803</v>
      </c>
    </row>
    <row r="1903" spans="2:12" ht="15" customHeight="1" x14ac:dyDescent="0.2">
      <c r="B1903" s="250" t="s">
        <v>1350</v>
      </c>
      <c r="C1903" s="250" t="s">
        <v>1282</v>
      </c>
      <c r="D1903" s="250" t="s">
        <v>60</v>
      </c>
      <c r="K1903" s="250">
        <v>1</v>
      </c>
      <c r="L1903" s="250">
        <v>901</v>
      </c>
    </row>
    <row r="1904" spans="2:12" ht="15" customHeight="1" x14ac:dyDescent="0.2">
      <c r="B1904" s="250" t="s">
        <v>1351</v>
      </c>
      <c r="C1904" s="250" t="s">
        <v>1282</v>
      </c>
      <c r="D1904" s="250" t="s">
        <v>60</v>
      </c>
      <c r="K1904" s="250">
        <v>1</v>
      </c>
      <c r="L1904" s="250">
        <v>25</v>
      </c>
    </row>
    <row r="1905" spans="2:12" ht="15" customHeight="1" x14ac:dyDescent="0.2">
      <c r="B1905" s="250" t="s">
        <v>1352</v>
      </c>
      <c r="C1905" s="250" t="s">
        <v>1282</v>
      </c>
      <c r="D1905" s="250" t="s">
        <v>60</v>
      </c>
      <c r="K1905" s="250">
        <v>1</v>
      </c>
      <c r="L1905" s="250">
        <v>25</v>
      </c>
    </row>
    <row r="1906" spans="2:12" ht="15" customHeight="1" x14ac:dyDescent="0.2">
      <c r="B1906" s="250" t="s">
        <v>1353</v>
      </c>
      <c r="C1906" s="250" t="s">
        <v>1282</v>
      </c>
      <c r="D1906" s="250" t="s">
        <v>60</v>
      </c>
      <c r="K1906" s="250">
        <v>1</v>
      </c>
      <c r="L1906" s="250">
        <v>34</v>
      </c>
    </row>
    <row r="1907" spans="2:12" ht="15" customHeight="1" x14ac:dyDescent="0.2">
      <c r="B1907" s="250" t="s">
        <v>1354</v>
      </c>
      <c r="C1907" s="250" t="s">
        <v>1282</v>
      </c>
      <c r="D1907" s="250" t="s">
        <v>60</v>
      </c>
      <c r="K1907" s="250">
        <v>1</v>
      </c>
      <c r="L1907" s="250">
        <v>34</v>
      </c>
    </row>
    <row r="1908" spans="2:12" ht="15" customHeight="1" x14ac:dyDescent="0.2">
      <c r="B1908" s="250" t="s">
        <v>1355</v>
      </c>
      <c r="C1908" s="250" t="s">
        <v>1282</v>
      </c>
      <c r="D1908" s="250" t="s">
        <v>60</v>
      </c>
      <c r="K1908" s="250">
        <v>1</v>
      </c>
      <c r="L1908" s="250">
        <v>72</v>
      </c>
    </row>
    <row r="1909" spans="2:12" ht="15" customHeight="1" x14ac:dyDescent="0.2">
      <c r="B1909" s="250" t="s">
        <v>1356</v>
      </c>
      <c r="C1909" s="250" t="s">
        <v>1282</v>
      </c>
      <c r="D1909" s="250" t="s">
        <v>60</v>
      </c>
      <c r="K1909" s="250">
        <v>1</v>
      </c>
      <c r="L1909" s="250">
        <v>72</v>
      </c>
    </row>
    <row r="1910" spans="2:12" ht="15" customHeight="1" x14ac:dyDescent="0.2">
      <c r="B1910" s="250" t="s">
        <v>1357</v>
      </c>
      <c r="C1910" s="250" t="s">
        <v>1282</v>
      </c>
      <c r="D1910" s="250" t="s">
        <v>60</v>
      </c>
      <c r="K1910" s="250">
        <v>1</v>
      </c>
      <c r="L1910" s="250">
        <v>108</v>
      </c>
    </row>
    <row r="1911" spans="2:12" ht="15" customHeight="1" x14ac:dyDescent="0.2">
      <c r="B1911" s="250" t="s">
        <v>1358</v>
      </c>
      <c r="C1911" s="250" t="s">
        <v>1282</v>
      </c>
      <c r="D1911" s="250" t="s">
        <v>60</v>
      </c>
      <c r="K1911" s="250">
        <v>1</v>
      </c>
      <c r="L1911" s="250">
        <v>108</v>
      </c>
    </row>
    <row r="1912" spans="2:12" ht="15" customHeight="1" x14ac:dyDescent="0.2">
      <c r="B1912" s="250" t="s">
        <v>1359</v>
      </c>
      <c r="C1912" s="250" t="s">
        <v>1282</v>
      </c>
      <c r="D1912" s="250" t="s">
        <v>60</v>
      </c>
      <c r="K1912" s="250">
        <v>1</v>
      </c>
      <c r="L1912" s="250">
        <v>243</v>
      </c>
    </row>
    <row r="1913" spans="2:12" ht="15" customHeight="1" x14ac:dyDescent="0.2">
      <c r="B1913" s="250" t="s">
        <v>1360</v>
      </c>
      <c r="C1913" s="250" t="s">
        <v>1282</v>
      </c>
      <c r="D1913" s="250" t="s">
        <v>60</v>
      </c>
      <c r="K1913" s="250">
        <v>1</v>
      </c>
      <c r="L1913" s="250">
        <v>243</v>
      </c>
    </row>
    <row r="1914" spans="2:12" ht="15" customHeight="1" x14ac:dyDescent="0.2">
      <c r="B1914" s="250" t="s">
        <v>1361</v>
      </c>
      <c r="C1914" s="250" t="s">
        <v>1282</v>
      </c>
      <c r="D1914" s="250" t="s">
        <v>60</v>
      </c>
      <c r="K1914" s="250">
        <v>1</v>
      </c>
      <c r="L1914" s="250">
        <v>305</v>
      </c>
    </row>
    <row r="1915" spans="2:12" ht="15" customHeight="1" x14ac:dyDescent="0.2">
      <c r="B1915" s="250" t="s">
        <v>1362</v>
      </c>
      <c r="C1915" s="250" t="s">
        <v>1282</v>
      </c>
      <c r="D1915" s="250" t="s">
        <v>60</v>
      </c>
      <c r="K1915" s="250">
        <v>1</v>
      </c>
      <c r="L1915" s="250">
        <v>305</v>
      </c>
    </row>
    <row r="1916" spans="2:12" ht="15" customHeight="1" x14ac:dyDescent="0.2">
      <c r="B1916" s="250" t="s">
        <v>1363</v>
      </c>
      <c r="C1916" s="250" t="s">
        <v>1282</v>
      </c>
      <c r="D1916" s="250" t="s">
        <v>60</v>
      </c>
      <c r="K1916" s="250">
        <v>1</v>
      </c>
      <c r="L1916" s="250">
        <v>942</v>
      </c>
    </row>
    <row r="1917" spans="2:12" ht="15" customHeight="1" x14ac:dyDescent="0.2">
      <c r="B1917" s="250" t="s">
        <v>1364</v>
      </c>
      <c r="C1917" s="250" t="s">
        <v>1282</v>
      </c>
      <c r="D1917" s="250" t="s">
        <v>60</v>
      </c>
      <c r="K1917" s="250">
        <v>1</v>
      </c>
      <c r="L1917" s="250">
        <v>942</v>
      </c>
    </row>
    <row r="1918" spans="2:12" ht="15" customHeight="1" x14ac:dyDescent="0.2">
      <c r="B1918" s="250" t="s">
        <v>1365</v>
      </c>
      <c r="C1918" s="250" t="s">
        <v>1282</v>
      </c>
      <c r="D1918" s="250" t="s">
        <v>60</v>
      </c>
      <c r="K1918" s="250">
        <v>1</v>
      </c>
      <c r="L1918" s="250">
        <v>1079</v>
      </c>
    </row>
    <row r="1919" spans="2:12" ht="15" customHeight="1" x14ac:dyDescent="0.2">
      <c r="B1919" s="250" t="s">
        <v>1366</v>
      </c>
      <c r="C1919" s="250" t="s">
        <v>1282</v>
      </c>
      <c r="D1919" s="250" t="s">
        <v>60</v>
      </c>
      <c r="K1919" s="250">
        <v>1</v>
      </c>
      <c r="L1919" s="250">
        <v>1218</v>
      </c>
    </row>
    <row r="1920" spans="2:12" ht="15" customHeight="1" x14ac:dyDescent="0.2">
      <c r="B1920" s="250" t="s">
        <v>1367</v>
      </c>
      <c r="C1920" s="250" t="s">
        <v>1282</v>
      </c>
      <c r="D1920" s="250" t="s">
        <v>60</v>
      </c>
      <c r="K1920" s="250">
        <v>1</v>
      </c>
      <c r="L1920" s="250">
        <v>2216</v>
      </c>
    </row>
    <row r="1921" spans="2:12" ht="15" customHeight="1" x14ac:dyDescent="0.2">
      <c r="B1921" s="250" t="s">
        <v>1368</v>
      </c>
      <c r="C1921" s="250" t="s">
        <v>1282</v>
      </c>
      <c r="D1921" s="250" t="s">
        <v>60</v>
      </c>
      <c r="K1921" s="250">
        <v>1</v>
      </c>
      <c r="L1921" s="250">
        <v>45</v>
      </c>
    </row>
    <row r="1922" spans="2:12" ht="15" customHeight="1" x14ac:dyDescent="0.2">
      <c r="B1922" s="250" t="s">
        <v>1369</v>
      </c>
      <c r="C1922" s="250" t="s">
        <v>1282</v>
      </c>
      <c r="D1922" s="250" t="s">
        <v>60</v>
      </c>
      <c r="K1922" s="250">
        <v>1</v>
      </c>
      <c r="L1922" s="250">
        <v>45</v>
      </c>
    </row>
    <row r="1923" spans="2:12" ht="15" customHeight="1" x14ac:dyDescent="0.2">
      <c r="B1923" s="250" t="s">
        <v>1370</v>
      </c>
      <c r="C1923" s="250" t="s">
        <v>1282</v>
      </c>
      <c r="D1923" s="250" t="s">
        <v>60</v>
      </c>
      <c r="K1923" s="250">
        <v>1</v>
      </c>
      <c r="L1923" s="250">
        <v>53</v>
      </c>
    </row>
    <row r="1924" spans="2:12" ht="15" customHeight="1" x14ac:dyDescent="0.2">
      <c r="B1924" s="250" t="s">
        <v>1371</v>
      </c>
      <c r="C1924" s="250" t="s">
        <v>1282</v>
      </c>
      <c r="D1924" s="250" t="s">
        <v>60</v>
      </c>
      <c r="K1924" s="250">
        <v>1</v>
      </c>
      <c r="L1924" s="250">
        <v>53</v>
      </c>
    </row>
    <row r="1925" spans="2:12" ht="15" customHeight="1" x14ac:dyDescent="0.2">
      <c r="B1925" s="250" t="s">
        <v>1372</v>
      </c>
      <c r="C1925" s="250" t="s">
        <v>1282</v>
      </c>
      <c r="D1925" s="250" t="s">
        <v>60</v>
      </c>
      <c r="K1925" s="250">
        <v>1</v>
      </c>
      <c r="L1925" s="250">
        <v>85</v>
      </c>
    </row>
    <row r="1926" spans="2:12" ht="15" customHeight="1" x14ac:dyDescent="0.2">
      <c r="B1926" s="250" t="s">
        <v>1373</v>
      </c>
      <c r="C1926" s="250" t="s">
        <v>1282</v>
      </c>
      <c r="D1926" s="250" t="s">
        <v>60</v>
      </c>
      <c r="K1926" s="250">
        <v>1</v>
      </c>
      <c r="L1926" s="250">
        <v>85</v>
      </c>
    </row>
    <row r="1927" spans="2:12" ht="15" customHeight="1" x14ac:dyDescent="0.2">
      <c r="B1927" s="250" t="s">
        <v>1374</v>
      </c>
      <c r="C1927" s="250" t="s">
        <v>1282</v>
      </c>
      <c r="D1927" s="250" t="s">
        <v>60</v>
      </c>
      <c r="K1927" s="250">
        <v>1</v>
      </c>
      <c r="L1927" s="250">
        <v>113</v>
      </c>
    </row>
    <row r="1928" spans="2:12" ht="15" customHeight="1" x14ac:dyDescent="0.2">
      <c r="B1928" s="250" t="s">
        <v>1375</v>
      </c>
      <c r="C1928" s="250" t="s">
        <v>1282</v>
      </c>
      <c r="D1928" s="250" t="s">
        <v>60</v>
      </c>
      <c r="K1928" s="250">
        <v>1</v>
      </c>
      <c r="L1928" s="250">
        <v>113</v>
      </c>
    </row>
    <row r="1929" spans="2:12" ht="15" customHeight="1" x14ac:dyDescent="0.2">
      <c r="B1929" s="250" t="s">
        <v>1376</v>
      </c>
      <c r="C1929" s="250" t="s">
        <v>1282</v>
      </c>
      <c r="D1929" s="250" t="s">
        <v>60</v>
      </c>
      <c r="K1929" s="250">
        <v>1</v>
      </c>
      <c r="L1929" s="250">
        <v>216</v>
      </c>
    </row>
    <row r="1930" spans="2:12" ht="15" customHeight="1" x14ac:dyDescent="0.2">
      <c r="B1930" s="250" t="s">
        <v>1377</v>
      </c>
      <c r="C1930" s="250" t="s">
        <v>1282</v>
      </c>
      <c r="D1930" s="250" t="s">
        <v>60</v>
      </c>
      <c r="K1930" s="250">
        <v>1</v>
      </c>
      <c r="L1930" s="250">
        <v>216</v>
      </c>
    </row>
    <row r="1931" spans="2:12" ht="15" customHeight="1" x14ac:dyDescent="0.2">
      <c r="B1931" s="250" t="s">
        <v>1378</v>
      </c>
      <c r="C1931" s="250" t="s">
        <v>1282</v>
      </c>
      <c r="D1931" s="250" t="s">
        <v>60</v>
      </c>
      <c r="K1931" s="250">
        <v>1</v>
      </c>
      <c r="L1931" s="250">
        <v>278</v>
      </c>
    </row>
    <row r="1932" spans="2:12" ht="15" customHeight="1" x14ac:dyDescent="0.2">
      <c r="B1932" s="250" t="s">
        <v>1379</v>
      </c>
      <c r="C1932" s="250" t="s">
        <v>1282</v>
      </c>
      <c r="D1932" s="250" t="s">
        <v>60</v>
      </c>
      <c r="K1932" s="250">
        <v>1</v>
      </c>
      <c r="L1932" s="250">
        <v>278</v>
      </c>
    </row>
    <row r="1933" spans="2:12" ht="15" customHeight="1" x14ac:dyDescent="0.2">
      <c r="B1933" s="250" t="s">
        <v>1380</v>
      </c>
      <c r="C1933" s="250" t="s">
        <v>1282</v>
      </c>
      <c r="D1933" s="250" t="s">
        <v>60</v>
      </c>
      <c r="K1933" s="250">
        <v>1</v>
      </c>
      <c r="L1933" s="250">
        <v>764</v>
      </c>
    </row>
    <row r="1934" spans="2:12" ht="15" customHeight="1" x14ac:dyDescent="0.2">
      <c r="B1934" s="250" t="s">
        <v>1381</v>
      </c>
      <c r="C1934" s="250" t="s">
        <v>1282</v>
      </c>
      <c r="D1934" s="250" t="s">
        <v>60</v>
      </c>
      <c r="K1934" s="250">
        <v>1</v>
      </c>
      <c r="L1934" s="250">
        <v>764</v>
      </c>
    </row>
    <row r="1935" spans="2:12" ht="15" customHeight="1" x14ac:dyDescent="0.2">
      <c r="B1935" s="250" t="s">
        <v>1382</v>
      </c>
      <c r="C1935" s="250" t="s">
        <v>1282</v>
      </c>
      <c r="D1935" s="250" t="s">
        <v>60</v>
      </c>
      <c r="K1935" s="250">
        <v>1</v>
      </c>
      <c r="L1935" s="250">
        <v>848</v>
      </c>
    </row>
    <row r="1936" spans="2:12" ht="15" customHeight="1" x14ac:dyDescent="0.2">
      <c r="B1936" s="250" t="s">
        <v>1383</v>
      </c>
      <c r="C1936" s="250" t="s">
        <v>1282</v>
      </c>
      <c r="D1936" s="250" t="s">
        <v>60</v>
      </c>
      <c r="K1936" s="250">
        <v>1</v>
      </c>
      <c r="L1936" s="250">
        <v>945</v>
      </c>
    </row>
    <row r="1937" spans="2:12" ht="15" customHeight="1" x14ac:dyDescent="0.2">
      <c r="B1937" s="250" t="s">
        <v>1384</v>
      </c>
      <c r="C1937" s="250" t="s">
        <v>1282</v>
      </c>
      <c r="D1937" s="250" t="s">
        <v>60</v>
      </c>
      <c r="K1937" s="250">
        <v>1</v>
      </c>
      <c r="L1937" s="250">
        <v>48</v>
      </c>
    </row>
    <row r="1938" spans="2:12" ht="15" customHeight="1" x14ac:dyDescent="0.2">
      <c r="B1938" s="250" t="s">
        <v>1385</v>
      </c>
      <c r="C1938" s="250" t="s">
        <v>1282</v>
      </c>
      <c r="D1938" s="250" t="s">
        <v>60</v>
      </c>
      <c r="K1938" s="250">
        <v>1</v>
      </c>
      <c r="L1938" s="250">
        <v>48</v>
      </c>
    </row>
    <row r="1939" spans="2:12" ht="15" customHeight="1" x14ac:dyDescent="0.2">
      <c r="B1939" s="250" t="s">
        <v>1386</v>
      </c>
      <c r="C1939" s="250" t="s">
        <v>1282</v>
      </c>
      <c r="D1939" s="250" t="s">
        <v>60</v>
      </c>
      <c r="K1939" s="250">
        <v>1</v>
      </c>
      <c r="L1939" s="250">
        <v>57</v>
      </c>
    </row>
    <row r="1940" spans="2:12" ht="15" customHeight="1" x14ac:dyDescent="0.2">
      <c r="B1940" s="250" t="s">
        <v>1387</v>
      </c>
      <c r="C1940" s="250" t="s">
        <v>1282</v>
      </c>
      <c r="D1940" s="250" t="s">
        <v>60</v>
      </c>
      <c r="K1940" s="250">
        <v>1</v>
      </c>
      <c r="L1940" s="250">
        <v>57</v>
      </c>
    </row>
    <row r="1941" spans="2:12" ht="15" customHeight="1" x14ac:dyDescent="0.2">
      <c r="B1941" s="250" t="s">
        <v>1388</v>
      </c>
      <c r="C1941" s="250" t="s">
        <v>1282</v>
      </c>
      <c r="D1941" s="250" t="s">
        <v>60</v>
      </c>
      <c r="K1941" s="250">
        <v>1</v>
      </c>
      <c r="L1941" s="250">
        <v>95</v>
      </c>
    </row>
    <row r="1942" spans="2:12" ht="15" customHeight="1" x14ac:dyDescent="0.2">
      <c r="B1942" s="250" t="s">
        <v>1389</v>
      </c>
      <c r="C1942" s="250" t="s">
        <v>1282</v>
      </c>
      <c r="D1942" s="250" t="s">
        <v>60</v>
      </c>
      <c r="K1942" s="250">
        <v>1</v>
      </c>
      <c r="L1942" s="250">
        <v>95</v>
      </c>
    </row>
    <row r="1943" spans="2:12" ht="15" customHeight="1" x14ac:dyDescent="0.2">
      <c r="B1943" s="250" t="s">
        <v>1390</v>
      </c>
      <c r="C1943" s="250" t="s">
        <v>1282</v>
      </c>
      <c r="D1943" s="250" t="s">
        <v>60</v>
      </c>
      <c r="K1943" s="250">
        <v>1</v>
      </c>
      <c r="L1943" s="250">
        <v>130</v>
      </c>
    </row>
    <row r="1944" spans="2:12" ht="15" customHeight="1" x14ac:dyDescent="0.2">
      <c r="B1944" s="250" t="s">
        <v>1391</v>
      </c>
      <c r="C1944" s="250" t="s">
        <v>1282</v>
      </c>
      <c r="D1944" s="250" t="s">
        <v>60</v>
      </c>
      <c r="K1944" s="250">
        <v>1</v>
      </c>
      <c r="L1944" s="250">
        <v>130</v>
      </c>
    </row>
    <row r="1945" spans="2:12" ht="15" customHeight="1" x14ac:dyDescent="0.2">
      <c r="B1945" s="250" t="s">
        <v>1392</v>
      </c>
      <c r="C1945" s="250" t="s">
        <v>1282</v>
      </c>
      <c r="D1945" s="250" t="s">
        <v>60</v>
      </c>
      <c r="K1945" s="250">
        <v>1</v>
      </c>
      <c r="L1945" s="250">
        <v>266</v>
      </c>
    </row>
    <row r="1946" spans="2:12" ht="15" customHeight="1" x14ac:dyDescent="0.2">
      <c r="B1946" s="250" t="s">
        <v>1393</v>
      </c>
      <c r="C1946" s="250" t="s">
        <v>1282</v>
      </c>
      <c r="D1946" s="250" t="s">
        <v>60</v>
      </c>
      <c r="K1946" s="250">
        <v>1</v>
      </c>
      <c r="L1946" s="250">
        <v>266</v>
      </c>
    </row>
    <row r="1947" spans="2:12" ht="15" customHeight="1" x14ac:dyDescent="0.2">
      <c r="B1947" s="250" t="s">
        <v>1394</v>
      </c>
      <c r="C1947" s="250" t="s">
        <v>1282</v>
      </c>
      <c r="D1947" s="250" t="s">
        <v>60</v>
      </c>
      <c r="K1947" s="250">
        <v>1</v>
      </c>
      <c r="L1947" s="250">
        <v>328</v>
      </c>
    </row>
    <row r="1948" spans="2:12" ht="15" customHeight="1" x14ac:dyDescent="0.2">
      <c r="B1948" s="250" t="s">
        <v>1395</v>
      </c>
      <c r="C1948" s="250" t="s">
        <v>1282</v>
      </c>
      <c r="D1948" s="250" t="s">
        <v>60</v>
      </c>
      <c r="K1948" s="250">
        <v>1</v>
      </c>
      <c r="L1948" s="250">
        <v>328</v>
      </c>
    </row>
    <row r="1949" spans="2:12" ht="15" customHeight="1" x14ac:dyDescent="0.2">
      <c r="B1949" s="250" t="s">
        <v>1396</v>
      </c>
      <c r="C1949" s="250" t="s">
        <v>1282</v>
      </c>
      <c r="D1949" s="250" t="s">
        <v>60</v>
      </c>
      <c r="K1949" s="250">
        <v>1</v>
      </c>
      <c r="L1949" s="250">
        <v>987</v>
      </c>
    </row>
    <row r="1950" spans="2:12" ht="15" customHeight="1" x14ac:dyDescent="0.2">
      <c r="B1950" s="250" t="s">
        <v>1397</v>
      </c>
      <c r="C1950" s="250" t="s">
        <v>1282</v>
      </c>
      <c r="D1950" s="250" t="s">
        <v>60</v>
      </c>
      <c r="K1950" s="250">
        <v>1</v>
      </c>
      <c r="L1950" s="250">
        <v>987</v>
      </c>
    </row>
    <row r="1951" spans="2:12" ht="15" customHeight="1" x14ac:dyDescent="0.2">
      <c r="B1951" s="250" t="s">
        <v>1398</v>
      </c>
      <c r="C1951" s="250" t="s">
        <v>1282</v>
      </c>
      <c r="D1951" s="250" t="s">
        <v>60</v>
      </c>
      <c r="K1951" s="250">
        <v>1</v>
      </c>
      <c r="L1951" s="250">
        <v>11238</v>
      </c>
    </row>
    <row r="1952" spans="2:12" ht="15" customHeight="1" x14ac:dyDescent="0.2">
      <c r="B1952" s="250" t="s">
        <v>1399</v>
      </c>
      <c r="C1952" s="250" t="s">
        <v>1282</v>
      </c>
      <c r="D1952" s="250" t="s">
        <v>60</v>
      </c>
      <c r="K1952" s="250">
        <v>1</v>
      </c>
      <c r="L1952" s="250">
        <v>1263</v>
      </c>
    </row>
    <row r="1953" spans="2:12" ht="15" customHeight="1" x14ac:dyDescent="0.2">
      <c r="B1953" s="250" t="s">
        <v>1400</v>
      </c>
      <c r="C1953" s="250" t="s">
        <v>1282</v>
      </c>
      <c r="D1953" s="250" t="s">
        <v>60</v>
      </c>
      <c r="K1953" s="250">
        <v>1</v>
      </c>
      <c r="L1953" s="250">
        <v>2261</v>
      </c>
    </row>
    <row r="1954" spans="2:12" ht="15" customHeight="1" x14ac:dyDescent="0.2">
      <c r="B1954" s="250" t="s">
        <v>1401</v>
      </c>
      <c r="C1954" s="250" t="s">
        <v>1282</v>
      </c>
      <c r="D1954" s="250" t="s">
        <v>315</v>
      </c>
      <c r="K1954" s="250">
        <v>1</v>
      </c>
      <c r="L1954" s="250">
        <v>284</v>
      </c>
    </row>
    <row r="1955" spans="2:12" ht="15" customHeight="1" x14ac:dyDescent="0.2">
      <c r="B1955" s="250" t="s">
        <v>1402</v>
      </c>
      <c r="C1955" s="250" t="s">
        <v>1282</v>
      </c>
      <c r="D1955" s="250" t="s">
        <v>315</v>
      </c>
      <c r="K1955" s="250">
        <v>1</v>
      </c>
      <c r="L1955" s="250">
        <v>536</v>
      </c>
    </row>
    <row r="1956" spans="2:12" ht="15" customHeight="1" x14ac:dyDescent="0.2">
      <c r="B1956" s="250" t="s">
        <v>1403</v>
      </c>
      <c r="C1956" s="250" t="s">
        <v>1282</v>
      </c>
      <c r="D1956" s="250" t="s">
        <v>315</v>
      </c>
      <c r="K1956" s="250">
        <v>1</v>
      </c>
      <c r="L1956" s="250">
        <v>604</v>
      </c>
    </row>
    <row r="1957" spans="2:12" ht="15" customHeight="1" x14ac:dyDescent="0.2">
      <c r="B1957" s="250" t="s">
        <v>1404</v>
      </c>
      <c r="C1957" s="250" t="s">
        <v>1282</v>
      </c>
      <c r="D1957" s="250" t="s">
        <v>315</v>
      </c>
      <c r="K1957" s="250">
        <v>1</v>
      </c>
      <c r="L1957" s="250">
        <v>1029</v>
      </c>
    </row>
    <row r="1958" spans="2:12" ht="15" customHeight="1" x14ac:dyDescent="0.2">
      <c r="B1958" s="250" t="s">
        <v>1405</v>
      </c>
      <c r="C1958" s="250" t="s">
        <v>1282</v>
      </c>
      <c r="D1958" s="250" t="s">
        <v>315</v>
      </c>
      <c r="K1958" s="250">
        <v>1</v>
      </c>
      <c r="L1958" s="250">
        <v>1134</v>
      </c>
    </row>
    <row r="1959" spans="2:12" ht="15" customHeight="1" x14ac:dyDescent="0.2">
      <c r="B1959" s="250" t="s">
        <v>1406</v>
      </c>
      <c r="C1959" s="250" t="s">
        <v>1282</v>
      </c>
      <c r="D1959" s="250" t="s">
        <v>315</v>
      </c>
      <c r="K1959" s="250">
        <v>1</v>
      </c>
      <c r="L1959" s="250">
        <v>2993</v>
      </c>
    </row>
    <row r="1960" spans="2:12" ht="15" customHeight="1" x14ac:dyDescent="0.2">
      <c r="B1960" s="250" t="s">
        <v>1407</v>
      </c>
      <c r="C1960" s="250" t="s">
        <v>1282</v>
      </c>
      <c r="D1960" s="250" t="s">
        <v>315</v>
      </c>
      <c r="K1960" s="250">
        <v>1</v>
      </c>
      <c r="L1960" s="250">
        <v>3255</v>
      </c>
    </row>
    <row r="1961" spans="2:12" ht="15" customHeight="1" x14ac:dyDescent="0.2">
      <c r="B1961" s="250" t="s">
        <v>1408</v>
      </c>
      <c r="C1961" s="250" t="s">
        <v>1282</v>
      </c>
      <c r="D1961" s="250" t="s">
        <v>315</v>
      </c>
      <c r="K1961" s="250">
        <v>1</v>
      </c>
      <c r="L1961" s="250">
        <v>3518</v>
      </c>
    </row>
    <row r="1962" spans="2:12" ht="15" customHeight="1" x14ac:dyDescent="0.2">
      <c r="B1962" s="250" t="s">
        <v>1409</v>
      </c>
      <c r="C1962" s="250" t="s">
        <v>1282</v>
      </c>
      <c r="D1962" s="250" t="s">
        <v>315</v>
      </c>
      <c r="K1962" s="250">
        <v>1</v>
      </c>
      <c r="L1962" s="250">
        <v>6930</v>
      </c>
    </row>
    <row r="1963" spans="2:12" ht="15" customHeight="1" x14ac:dyDescent="0.2">
      <c r="B1963" s="250" t="s">
        <v>1410</v>
      </c>
      <c r="C1963" s="250" t="s">
        <v>1282</v>
      </c>
      <c r="D1963" s="250" t="s">
        <v>315</v>
      </c>
      <c r="K1963" s="250">
        <v>1</v>
      </c>
      <c r="L1963" s="250">
        <v>8925</v>
      </c>
    </row>
    <row r="1964" spans="2:12" ht="15" customHeight="1" x14ac:dyDescent="0.2">
      <c r="B1964" s="250" t="s">
        <v>1411</v>
      </c>
      <c r="C1964" s="250" t="s">
        <v>1282</v>
      </c>
      <c r="D1964" s="250" t="s">
        <v>315</v>
      </c>
      <c r="K1964" s="250">
        <v>1</v>
      </c>
      <c r="L1964" s="250">
        <v>11550</v>
      </c>
    </row>
    <row r="1965" spans="2:12" ht="15" customHeight="1" x14ac:dyDescent="0.2">
      <c r="B1965" s="250" t="s">
        <v>1412</v>
      </c>
      <c r="C1965" s="250" t="s">
        <v>1282</v>
      </c>
      <c r="D1965" s="250" t="s">
        <v>315</v>
      </c>
      <c r="K1965" s="250">
        <v>1</v>
      </c>
      <c r="L1965" s="250">
        <v>305</v>
      </c>
    </row>
    <row r="1966" spans="2:12" ht="15" customHeight="1" x14ac:dyDescent="0.2">
      <c r="B1966" s="250" t="s">
        <v>1413</v>
      </c>
      <c r="C1966" s="250" t="s">
        <v>1282</v>
      </c>
      <c r="D1966" s="250" t="s">
        <v>315</v>
      </c>
      <c r="K1966" s="250">
        <v>1</v>
      </c>
      <c r="L1966" s="250">
        <v>557</v>
      </c>
    </row>
    <row r="1967" spans="2:12" ht="15" customHeight="1" x14ac:dyDescent="0.2">
      <c r="B1967" s="250" t="s">
        <v>1414</v>
      </c>
      <c r="C1967" s="250" t="s">
        <v>1282</v>
      </c>
      <c r="D1967" s="250" t="s">
        <v>315</v>
      </c>
      <c r="K1967" s="250">
        <v>1</v>
      </c>
      <c r="L1967" s="250">
        <v>651</v>
      </c>
    </row>
    <row r="1968" spans="2:12" ht="15" customHeight="1" x14ac:dyDescent="0.2">
      <c r="B1968" s="250" t="s">
        <v>1415</v>
      </c>
      <c r="C1968" s="250" t="s">
        <v>1282</v>
      </c>
      <c r="D1968" s="250" t="s">
        <v>315</v>
      </c>
      <c r="K1968" s="250">
        <v>1</v>
      </c>
      <c r="L1968" s="250">
        <v>1103</v>
      </c>
    </row>
    <row r="1969" spans="2:12" ht="15" customHeight="1" x14ac:dyDescent="0.2">
      <c r="B1969" s="250" t="s">
        <v>1416</v>
      </c>
      <c r="C1969" s="250" t="s">
        <v>1282</v>
      </c>
      <c r="D1969" s="250" t="s">
        <v>315</v>
      </c>
      <c r="K1969" s="250">
        <v>1</v>
      </c>
      <c r="L1969" s="250">
        <v>1208</v>
      </c>
    </row>
    <row r="1970" spans="2:12" ht="15" customHeight="1" x14ac:dyDescent="0.2">
      <c r="B1970" s="250" t="s">
        <v>1417</v>
      </c>
      <c r="C1970" s="250" t="s">
        <v>1282</v>
      </c>
      <c r="D1970" s="250" t="s">
        <v>315</v>
      </c>
      <c r="K1970" s="250">
        <v>1</v>
      </c>
      <c r="L1970" s="250">
        <v>3413</v>
      </c>
    </row>
    <row r="1971" spans="2:12" ht="15" customHeight="1" x14ac:dyDescent="0.2">
      <c r="B1971" s="250" t="s">
        <v>1418</v>
      </c>
      <c r="C1971" s="250" t="s">
        <v>1282</v>
      </c>
      <c r="D1971" s="250" t="s">
        <v>315</v>
      </c>
      <c r="K1971" s="250">
        <v>1</v>
      </c>
      <c r="L1971" s="250">
        <v>3675</v>
      </c>
    </row>
    <row r="1972" spans="2:12" ht="15" customHeight="1" x14ac:dyDescent="0.2">
      <c r="B1972" s="250" t="s">
        <v>1419</v>
      </c>
      <c r="C1972" s="250" t="s">
        <v>1282</v>
      </c>
      <c r="D1972" s="250" t="s">
        <v>315</v>
      </c>
      <c r="K1972" s="250">
        <v>1</v>
      </c>
      <c r="L1972" s="250">
        <v>4043</v>
      </c>
    </row>
    <row r="1973" spans="2:12" ht="15" customHeight="1" x14ac:dyDescent="0.2">
      <c r="B1973" s="250" t="s">
        <v>1420</v>
      </c>
      <c r="C1973" s="250" t="s">
        <v>1282</v>
      </c>
      <c r="D1973" s="250" t="s">
        <v>315</v>
      </c>
      <c r="K1973" s="250">
        <v>1</v>
      </c>
      <c r="L1973" s="250">
        <v>8873</v>
      </c>
    </row>
    <row r="1974" spans="2:12" ht="15" customHeight="1" x14ac:dyDescent="0.2">
      <c r="B1974" s="250" t="s">
        <v>1421</v>
      </c>
      <c r="C1974" s="250" t="s">
        <v>1282</v>
      </c>
      <c r="D1974" s="250" t="s">
        <v>315</v>
      </c>
      <c r="K1974" s="250">
        <v>1</v>
      </c>
      <c r="L1974" s="250">
        <v>10605</v>
      </c>
    </row>
    <row r="1975" spans="2:12" ht="15" customHeight="1" x14ac:dyDescent="0.2">
      <c r="B1975" s="250" t="s">
        <v>1422</v>
      </c>
      <c r="C1975" s="250" t="s">
        <v>1282</v>
      </c>
      <c r="D1975" s="250" t="s">
        <v>315</v>
      </c>
      <c r="K1975" s="250">
        <v>1</v>
      </c>
      <c r="L1975" s="250">
        <v>12810</v>
      </c>
    </row>
    <row r="1976" spans="2:12" ht="15" customHeight="1" x14ac:dyDescent="0.2">
      <c r="B1976" s="250" t="s">
        <v>1423</v>
      </c>
      <c r="C1976" s="250" t="s">
        <v>1282</v>
      </c>
      <c r="D1976" s="250" t="s">
        <v>1424</v>
      </c>
      <c r="K1976" s="250">
        <v>1</v>
      </c>
      <c r="L1976" s="250">
        <v>5.7</v>
      </c>
    </row>
    <row r="1977" spans="2:12" ht="15" customHeight="1" x14ac:dyDescent="0.2">
      <c r="B1977" s="250" t="s">
        <v>1425</v>
      </c>
      <c r="C1977" s="250" t="s">
        <v>1282</v>
      </c>
      <c r="D1977" s="250" t="s">
        <v>1424</v>
      </c>
      <c r="K1977" s="250">
        <v>1</v>
      </c>
      <c r="L1977" s="250">
        <v>11.6</v>
      </c>
    </row>
    <row r="1978" spans="2:12" ht="15" customHeight="1" x14ac:dyDescent="0.2">
      <c r="B1978" s="250" t="s">
        <v>1426</v>
      </c>
      <c r="C1978" s="250" t="s">
        <v>1282</v>
      </c>
      <c r="D1978" s="250" t="s">
        <v>1424</v>
      </c>
      <c r="K1978" s="250">
        <v>1</v>
      </c>
      <c r="L1978" s="250">
        <v>17.399999999999999</v>
      </c>
    </row>
    <row r="1979" spans="2:12" ht="15" customHeight="1" x14ac:dyDescent="0.2">
      <c r="B1979" s="250" t="s">
        <v>1427</v>
      </c>
      <c r="C1979" s="250" t="s">
        <v>1282</v>
      </c>
      <c r="D1979" s="250" t="s">
        <v>1424</v>
      </c>
      <c r="K1979" s="250">
        <v>1</v>
      </c>
      <c r="L1979" s="250">
        <v>23.1</v>
      </c>
    </row>
    <row r="1980" spans="2:12" ht="15" customHeight="1" x14ac:dyDescent="0.2">
      <c r="B1980" s="250" t="s">
        <v>1428</v>
      </c>
      <c r="C1980" s="250" t="s">
        <v>1282</v>
      </c>
      <c r="D1980" s="250" t="s">
        <v>1424</v>
      </c>
      <c r="K1980" s="250">
        <v>1</v>
      </c>
      <c r="L1980" s="250">
        <v>5.9</v>
      </c>
    </row>
    <row r="1981" spans="2:12" ht="15" customHeight="1" x14ac:dyDescent="0.2">
      <c r="B1981" s="250" t="s">
        <v>1429</v>
      </c>
      <c r="C1981" s="250" t="s">
        <v>1282</v>
      </c>
      <c r="D1981" s="250" t="s">
        <v>1424</v>
      </c>
      <c r="K1981" s="250">
        <v>1</v>
      </c>
      <c r="L1981" s="250">
        <v>12.2</v>
      </c>
    </row>
    <row r="1982" spans="2:12" ht="15" customHeight="1" x14ac:dyDescent="0.2">
      <c r="B1982" s="250" t="s">
        <v>1430</v>
      </c>
      <c r="C1982" s="250" t="s">
        <v>1282</v>
      </c>
      <c r="D1982" s="250" t="s">
        <v>1424</v>
      </c>
      <c r="K1982" s="250">
        <v>1</v>
      </c>
      <c r="L1982" s="250">
        <v>19.399999999999999</v>
      </c>
    </row>
    <row r="1983" spans="2:12" ht="15" customHeight="1" x14ac:dyDescent="0.2">
      <c r="B1983" s="250" t="s">
        <v>1431</v>
      </c>
      <c r="C1983" s="250" t="s">
        <v>1282</v>
      </c>
      <c r="D1983" s="250" t="s">
        <v>1424</v>
      </c>
      <c r="K1983" s="250">
        <v>1</v>
      </c>
      <c r="L1983" s="250">
        <v>24.4</v>
      </c>
    </row>
    <row r="1984" spans="2:12" ht="15" customHeight="1" x14ac:dyDescent="0.2">
      <c r="B1984" s="250" t="s">
        <v>1432</v>
      </c>
      <c r="C1984" s="250" t="s">
        <v>1282</v>
      </c>
      <c r="D1984" s="250" t="s">
        <v>1424</v>
      </c>
      <c r="K1984" s="250">
        <v>1</v>
      </c>
      <c r="L1984" s="250">
        <v>7.1</v>
      </c>
    </row>
    <row r="1985" spans="1:12" ht="15" customHeight="1" x14ac:dyDescent="0.2">
      <c r="B1985" s="250" t="s">
        <v>1433</v>
      </c>
      <c r="C1985" s="250" t="s">
        <v>1282</v>
      </c>
      <c r="D1985" s="250" t="s">
        <v>1424</v>
      </c>
      <c r="K1985" s="250">
        <v>1</v>
      </c>
      <c r="L1985" s="250">
        <v>14.3</v>
      </c>
    </row>
    <row r="1986" spans="1:12" ht="15" customHeight="1" x14ac:dyDescent="0.2">
      <c r="B1986" s="250" t="s">
        <v>1434</v>
      </c>
      <c r="C1986" s="250" t="s">
        <v>1282</v>
      </c>
      <c r="D1986" s="250" t="s">
        <v>1424</v>
      </c>
      <c r="K1986" s="250">
        <v>1</v>
      </c>
      <c r="L1986" s="250">
        <v>21.4</v>
      </c>
    </row>
    <row r="1987" spans="1:12" ht="15" customHeight="1" x14ac:dyDescent="0.2">
      <c r="B1987" s="250" t="s">
        <v>1435</v>
      </c>
      <c r="C1987" s="250" t="s">
        <v>1282</v>
      </c>
      <c r="D1987" s="250" t="s">
        <v>1424</v>
      </c>
      <c r="K1987" s="250">
        <v>1</v>
      </c>
      <c r="L1987" s="250">
        <v>28.6</v>
      </c>
    </row>
    <row r="1988" spans="1:12" ht="15" customHeight="1" x14ac:dyDescent="0.2">
      <c r="B1988" s="250" t="s">
        <v>1436</v>
      </c>
      <c r="C1988" s="250" t="s">
        <v>1282</v>
      </c>
      <c r="D1988" s="250" t="s">
        <v>1424</v>
      </c>
      <c r="K1988" s="250">
        <v>1</v>
      </c>
      <c r="L1988" s="250">
        <v>7.1</v>
      </c>
    </row>
    <row r="1989" spans="1:12" ht="15" customHeight="1" x14ac:dyDescent="0.2">
      <c r="B1989" s="250" t="s">
        <v>1437</v>
      </c>
      <c r="C1989" s="250" t="s">
        <v>1282</v>
      </c>
      <c r="D1989" s="250" t="s">
        <v>1424</v>
      </c>
      <c r="K1989" s="250">
        <v>1</v>
      </c>
      <c r="L1989" s="250">
        <v>14.3</v>
      </c>
    </row>
    <row r="1990" spans="1:12" ht="15" customHeight="1" x14ac:dyDescent="0.2">
      <c r="B1990" s="250" t="s">
        <v>1438</v>
      </c>
      <c r="C1990" s="250" t="s">
        <v>1282</v>
      </c>
      <c r="D1990" s="250" t="s">
        <v>1424</v>
      </c>
      <c r="K1990" s="250">
        <v>1</v>
      </c>
      <c r="L1990" s="250">
        <v>21.4</v>
      </c>
    </row>
    <row r="1991" spans="1:12" ht="15" customHeight="1" x14ac:dyDescent="0.2">
      <c r="B1991" s="250" t="s">
        <v>1439</v>
      </c>
      <c r="C1991" s="250" t="s">
        <v>1282</v>
      </c>
      <c r="D1991" s="250" t="s">
        <v>1424</v>
      </c>
      <c r="K1991" s="250">
        <v>1</v>
      </c>
      <c r="L1991" s="250">
        <v>28.6</v>
      </c>
    </row>
    <row r="1992" spans="1:12" ht="15" customHeight="1" x14ac:dyDescent="0.2">
      <c r="B1992" s="250" t="s">
        <v>4174</v>
      </c>
    </row>
    <row r="1993" spans="1:12" ht="15" customHeight="1" x14ac:dyDescent="0.2">
      <c r="A1993" s="255" t="s">
        <v>3925</v>
      </c>
      <c r="B1993" s="250" t="s">
        <v>2599</v>
      </c>
      <c r="C1993" s="250" t="s">
        <v>1440</v>
      </c>
      <c r="D1993" s="250" t="s">
        <v>699</v>
      </c>
      <c r="K1993" s="250">
        <v>0.4</v>
      </c>
      <c r="L1993" s="250">
        <v>14000</v>
      </c>
    </row>
    <row r="1994" spans="1:12" ht="15" customHeight="1" x14ac:dyDescent="0.2">
      <c r="B1994" s="250" t="s">
        <v>2600</v>
      </c>
      <c r="C1994" s="250" t="s">
        <v>1440</v>
      </c>
      <c r="D1994" s="250" t="s">
        <v>699</v>
      </c>
      <c r="K1994" s="250">
        <v>0.4</v>
      </c>
      <c r="L1994" s="250">
        <v>15000</v>
      </c>
    </row>
    <row r="1995" spans="1:12" ht="15" customHeight="1" x14ac:dyDescent="0.2">
      <c r="B1995" s="250" t="s">
        <v>2601</v>
      </c>
      <c r="C1995" s="250" t="s">
        <v>1440</v>
      </c>
      <c r="D1995" s="250" t="s">
        <v>699</v>
      </c>
      <c r="K1995" s="250">
        <v>0.4</v>
      </c>
      <c r="L1995" s="250">
        <v>16000</v>
      </c>
    </row>
    <row r="1996" spans="1:12" ht="15" customHeight="1" x14ac:dyDescent="0.2">
      <c r="B1996" s="250" t="s">
        <v>2602</v>
      </c>
      <c r="C1996" s="250" t="s">
        <v>1440</v>
      </c>
      <c r="D1996" s="250" t="s">
        <v>699</v>
      </c>
      <c r="K1996" s="250">
        <v>0.4</v>
      </c>
      <c r="L1996" s="250">
        <v>17000</v>
      </c>
    </row>
    <row r="1997" spans="1:12" ht="15" customHeight="1" x14ac:dyDescent="0.2">
      <c r="B1997" s="250" t="s">
        <v>2603</v>
      </c>
      <c r="C1997" s="250" t="s">
        <v>1440</v>
      </c>
      <c r="D1997" s="250" t="s">
        <v>699</v>
      </c>
      <c r="K1997" s="250">
        <v>0.4</v>
      </c>
      <c r="L1997" s="250">
        <v>18000</v>
      </c>
    </row>
    <row r="1998" spans="1:12" ht="15" customHeight="1" x14ac:dyDescent="0.2">
      <c r="B1998" s="250" t="s">
        <v>2604</v>
      </c>
      <c r="C1998" s="250" t="s">
        <v>1440</v>
      </c>
      <c r="D1998" s="250" t="s">
        <v>699</v>
      </c>
      <c r="K1998" s="250">
        <v>0.4</v>
      </c>
      <c r="L1998" s="250">
        <v>22000</v>
      </c>
    </row>
    <row r="1999" spans="1:12" ht="15" customHeight="1" x14ac:dyDescent="0.2">
      <c r="B1999" s="250" t="s">
        <v>2605</v>
      </c>
      <c r="C1999" s="250" t="s">
        <v>1440</v>
      </c>
      <c r="D1999" s="250" t="s">
        <v>699</v>
      </c>
      <c r="K1999" s="250">
        <v>0.4</v>
      </c>
      <c r="L1999" s="250">
        <v>17800</v>
      </c>
    </row>
    <row r="2000" spans="1:12" ht="15" customHeight="1" x14ac:dyDescent="0.2">
      <c r="B2000" s="250" t="s">
        <v>2606</v>
      </c>
      <c r="C2000" s="250" t="s">
        <v>1440</v>
      </c>
      <c r="D2000" s="250" t="s">
        <v>699</v>
      </c>
      <c r="K2000" s="250">
        <v>0.4</v>
      </c>
      <c r="L2000" s="250">
        <v>19100</v>
      </c>
    </row>
    <row r="2001" spans="2:12" ht="15" customHeight="1" x14ac:dyDescent="0.2">
      <c r="B2001" s="250" t="s">
        <v>2607</v>
      </c>
      <c r="C2001" s="250" t="s">
        <v>1440</v>
      </c>
      <c r="D2001" s="250" t="s">
        <v>699</v>
      </c>
      <c r="K2001" s="250">
        <v>0.4</v>
      </c>
      <c r="L2001" s="250">
        <v>20400</v>
      </c>
    </row>
    <row r="2002" spans="2:12" ht="15" customHeight="1" x14ac:dyDescent="0.2">
      <c r="B2002" s="250" t="s">
        <v>2608</v>
      </c>
      <c r="C2002" s="250" t="s">
        <v>1440</v>
      </c>
      <c r="D2002" s="250" t="s">
        <v>699</v>
      </c>
      <c r="K2002" s="250">
        <v>0.4</v>
      </c>
      <c r="L2002" s="250">
        <v>21700</v>
      </c>
    </row>
    <row r="2003" spans="2:12" ht="15" customHeight="1" x14ac:dyDescent="0.2">
      <c r="B2003" s="250" t="s">
        <v>2609</v>
      </c>
      <c r="C2003" s="250" t="s">
        <v>1440</v>
      </c>
      <c r="D2003" s="250" t="s">
        <v>699</v>
      </c>
      <c r="K2003" s="250">
        <v>0.4</v>
      </c>
      <c r="L2003" s="250">
        <v>23000</v>
      </c>
    </row>
    <row r="2004" spans="2:12" ht="15" customHeight="1" x14ac:dyDescent="0.2">
      <c r="B2004" s="250" t="s">
        <v>2610</v>
      </c>
      <c r="C2004" s="250" t="s">
        <v>1440</v>
      </c>
      <c r="D2004" s="250" t="s">
        <v>699</v>
      </c>
      <c r="K2004" s="250">
        <v>0.4</v>
      </c>
      <c r="L2004" s="250">
        <v>28200</v>
      </c>
    </row>
    <row r="2005" spans="2:12" ht="15" customHeight="1" x14ac:dyDescent="0.2">
      <c r="B2005" s="250" t="s">
        <v>2611</v>
      </c>
      <c r="C2005" s="250" t="s">
        <v>1440</v>
      </c>
      <c r="D2005" s="250" t="s">
        <v>699</v>
      </c>
      <c r="K2005" s="250">
        <v>0.4</v>
      </c>
      <c r="L2005" s="250">
        <v>25000</v>
      </c>
    </row>
    <row r="2006" spans="2:12" ht="15" customHeight="1" x14ac:dyDescent="0.2">
      <c r="B2006" s="250" t="s">
        <v>2612</v>
      </c>
      <c r="C2006" s="250" t="s">
        <v>1440</v>
      </c>
      <c r="D2006" s="250" t="s">
        <v>699</v>
      </c>
      <c r="K2006" s="250">
        <v>0.4</v>
      </c>
      <c r="L2006" s="250">
        <v>27000</v>
      </c>
    </row>
    <row r="2007" spans="2:12" ht="15" customHeight="1" x14ac:dyDescent="0.2">
      <c r="B2007" s="250" t="s">
        <v>2613</v>
      </c>
      <c r="C2007" s="250" t="s">
        <v>1440</v>
      </c>
      <c r="D2007" s="250" t="s">
        <v>699</v>
      </c>
      <c r="K2007" s="250">
        <v>0.4</v>
      </c>
      <c r="L2007" s="250">
        <v>29000</v>
      </c>
    </row>
    <row r="2008" spans="2:12" ht="15" customHeight="1" x14ac:dyDescent="0.2">
      <c r="B2008" s="250" t="s">
        <v>2614</v>
      </c>
      <c r="C2008" s="250" t="s">
        <v>1440</v>
      </c>
      <c r="D2008" s="250" t="s">
        <v>699</v>
      </c>
      <c r="K2008" s="250">
        <v>0.4</v>
      </c>
      <c r="L2008" s="250">
        <v>32000</v>
      </c>
    </row>
    <row r="2009" spans="2:12" ht="15" customHeight="1" x14ac:dyDescent="0.2">
      <c r="B2009" s="250" t="s">
        <v>2615</v>
      </c>
      <c r="C2009" s="250" t="s">
        <v>1440</v>
      </c>
      <c r="D2009" s="250" t="s">
        <v>699</v>
      </c>
      <c r="K2009" s="250">
        <v>0.4</v>
      </c>
      <c r="L2009" s="250">
        <v>32500</v>
      </c>
    </row>
    <row r="2010" spans="2:12" ht="15" customHeight="1" x14ac:dyDescent="0.2">
      <c r="B2010" s="250" t="s">
        <v>2616</v>
      </c>
      <c r="C2010" s="250" t="s">
        <v>1440</v>
      </c>
      <c r="D2010" s="250" t="s">
        <v>699</v>
      </c>
      <c r="K2010" s="250">
        <v>0.4</v>
      </c>
      <c r="L2010" s="250">
        <v>34700</v>
      </c>
    </row>
    <row r="2011" spans="2:12" ht="15" customHeight="1" x14ac:dyDescent="0.2">
      <c r="B2011" s="250" t="s">
        <v>2617</v>
      </c>
      <c r="C2011" s="250" t="s">
        <v>1440</v>
      </c>
      <c r="D2011" s="250" t="s">
        <v>699</v>
      </c>
      <c r="K2011" s="250">
        <v>0.4</v>
      </c>
      <c r="L2011" s="250">
        <v>37300</v>
      </c>
    </row>
    <row r="2012" spans="2:12" ht="15" customHeight="1" x14ac:dyDescent="0.2">
      <c r="B2012" s="250" t="s">
        <v>2618</v>
      </c>
      <c r="C2012" s="250" t="s">
        <v>1440</v>
      </c>
      <c r="D2012" s="250" t="s">
        <v>699</v>
      </c>
      <c r="K2012" s="250">
        <v>0.4</v>
      </c>
      <c r="L2012" s="250">
        <v>41900</v>
      </c>
    </row>
    <row r="2013" spans="2:12" ht="15" customHeight="1" x14ac:dyDescent="0.2">
      <c r="B2013" s="250" t="s">
        <v>2619</v>
      </c>
      <c r="C2013" s="250" t="s">
        <v>1440</v>
      </c>
      <c r="D2013" s="250" t="s">
        <v>699</v>
      </c>
      <c r="K2013" s="250">
        <v>0.4</v>
      </c>
      <c r="L2013" s="250">
        <v>73000</v>
      </c>
    </row>
    <row r="2014" spans="2:12" ht="15" customHeight="1" x14ac:dyDescent="0.2">
      <c r="B2014" s="250" t="s">
        <v>2620</v>
      </c>
      <c r="C2014" s="250" t="s">
        <v>1440</v>
      </c>
      <c r="D2014" s="250" t="s">
        <v>699</v>
      </c>
      <c r="K2014" s="250">
        <v>0.4</v>
      </c>
      <c r="L2014" s="250">
        <v>81000</v>
      </c>
    </row>
    <row r="2015" spans="2:12" ht="15" customHeight="1" x14ac:dyDescent="0.2">
      <c r="B2015" s="250" t="s">
        <v>2621</v>
      </c>
      <c r="C2015" s="250" t="s">
        <v>1440</v>
      </c>
      <c r="D2015" s="250" t="s">
        <v>699</v>
      </c>
      <c r="K2015" s="250">
        <v>0.4</v>
      </c>
      <c r="L2015" s="250">
        <v>100000</v>
      </c>
    </row>
    <row r="2016" spans="2:12" ht="15" customHeight="1" x14ac:dyDescent="0.2">
      <c r="B2016" s="250" t="s">
        <v>2622</v>
      </c>
      <c r="C2016" s="250" t="s">
        <v>1440</v>
      </c>
      <c r="D2016" s="250" t="s">
        <v>699</v>
      </c>
      <c r="K2016" s="250">
        <v>0.4</v>
      </c>
      <c r="L2016" s="250">
        <v>95000</v>
      </c>
    </row>
    <row r="2017" spans="2:12" ht="15" customHeight="1" x14ac:dyDescent="0.2">
      <c r="B2017" s="250" t="s">
        <v>2623</v>
      </c>
      <c r="C2017" s="250" t="s">
        <v>1440</v>
      </c>
      <c r="D2017" s="250" t="s">
        <v>699</v>
      </c>
      <c r="K2017" s="250">
        <v>0.4</v>
      </c>
      <c r="L2017" s="250">
        <v>105300</v>
      </c>
    </row>
    <row r="2018" spans="2:12" ht="15" customHeight="1" x14ac:dyDescent="0.2">
      <c r="B2018" s="250" t="s">
        <v>3926</v>
      </c>
      <c r="C2018" s="250" t="s">
        <v>1440</v>
      </c>
      <c r="D2018" s="250" t="s">
        <v>4179</v>
      </c>
      <c r="K2018" s="250">
        <v>0.4</v>
      </c>
      <c r="L2018" s="250">
        <v>1750</v>
      </c>
    </row>
    <row r="2019" spans="2:12" ht="15" customHeight="1" x14ac:dyDescent="0.2">
      <c r="B2019" s="250" t="s">
        <v>4180</v>
      </c>
      <c r="C2019" s="250" t="s">
        <v>1440</v>
      </c>
      <c r="D2019" s="250" t="s">
        <v>4181</v>
      </c>
      <c r="K2019" s="250">
        <v>0.4</v>
      </c>
      <c r="L2019" s="250">
        <v>400</v>
      </c>
    </row>
    <row r="2020" spans="2:12" ht="15" customHeight="1" x14ac:dyDescent="0.2">
      <c r="B2020" s="250" t="s">
        <v>1441</v>
      </c>
      <c r="C2020" s="250" t="s">
        <v>1440</v>
      </c>
      <c r="D2020" s="250" t="s">
        <v>58</v>
      </c>
      <c r="K2020" s="250">
        <v>0.4</v>
      </c>
      <c r="L2020" s="250">
        <v>250</v>
      </c>
    </row>
    <row r="2021" spans="2:12" ht="15" customHeight="1" x14ac:dyDescent="0.2">
      <c r="B2021" s="250" t="s">
        <v>4182</v>
      </c>
      <c r="C2021" s="250" t="s">
        <v>1440</v>
      </c>
      <c r="D2021" s="250" t="s">
        <v>58</v>
      </c>
      <c r="K2021" s="250">
        <v>0.4</v>
      </c>
      <c r="L2021" s="250">
        <v>300</v>
      </c>
    </row>
    <row r="2022" spans="2:12" ht="15" customHeight="1" x14ac:dyDescent="0.2">
      <c r="B2022" s="250" t="s">
        <v>4183</v>
      </c>
      <c r="C2022" s="250" t="s">
        <v>1440</v>
      </c>
      <c r="D2022" s="250" t="s">
        <v>58</v>
      </c>
      <c r="K2022" s="250">
        <v>0.4</v>
      </c>
      <c r="L2022" s="250">
        <v>600</v>
      </c>
    </row>
    <row r="2023" spans="2:12" ht="15" customHeight="1" x14ac:dyDescent="0.2">
      <c r="B2023" s="250" t="s">
        <v>1442</v>
      </c>
      <c r="C2023" s="250" t="s">
        <v>1440</v>
      </c>
      <c r="D2023" s="250" t="s">
        <v>58</v>
      </c>
      <c r="K2023" s="250">
        <v>0.4</v>
      </c>
      <c r="L2023" s="250">
        <v>1000</v>
      </c>
    </row>
    <row r="2024" spans="2:12" ht="15" customHeight="1" x14ac:dyDescent="0.2">
      <c r="B2024" s="250" t="s">
        <v>1443</v>
      </c>
      <c r="C2024" s="250" t="s">
        <v>1440</v>
      </c>
      <c r="D2024" s="250" t="s">
        <v>58</v>
      </c>
      <c r="K2024" s="250">
        <v>0.4</v>
      </c>
      <c r="L2024" s="250">
        <v>1350</v>
      </c>
    </row>
    <row r="2025" spans="2:12" ht="15" customHeight="1" x14ac:dyDescent="0.2">
      <c r="B2025" s="250" t="s">
        <v>4184</v>
      </c>
      <c r="C2025" s="250" t="s">
        <v>1440</v>
      </c>
      <c r="D2025" s="250" t="s">
        <v>58</v>
      </c>
      <c r="K2025" s="250">
        <v>0.4</v>
      </c>
      <c r="L2025" s="250">
        <v>1500</v>
      </c>
    </row>
    <row r="2026" spans="2:12" ht="15" customHeight="1" x14ac:dyDescent="0.2">
      <c r="B2026" s="250" t="s">
        <v>1444</v>
      </c>
      <c r="C2026" s="250" t="s">
        <v>1440</v>
      </c>
      <c r="D2026" s="250" t="s">
        <v>58</v>
      </c>
      <c r="K2026" s="250">
        <v>0.4</v>
      </c>
      <c r="L2026" s="250">
        <v>350</v>
      </c>
    </row>
    <row r="2027" spans="2:12" ht="15" customHeight="1" x14ac:dyDescent="0.2">
      <c r="B2027" s="250" t="s">
        <v>3927</v>
      </c>
      <c r="C2027" s="250" t="s">
        <v>1440</v>
      </c>
      <c r="D2027" s="250" t="s">
        <v>58</v>
      </c>
      <c r="K2027" s="250">
        <v>0.4</v>
      </c>
      <c r="L2027" s="250">
        <v>450</v>
      </c>
    </row>
    <row r="2028" spans="2:12" ht="15" customHeight="1" x14ac:dyDescent="0.2">
      <c r="B2028" s="250" t="s">
        <v>3928</v>
      </c>
      <c r="C2028" s="250" t="s">
        <v>1440</v>
      </c>
      <c r="D2028" s="250" t="s">
        <v>58</v>
      </c>
      <c r="K2028" s="250">
        <v>0.4</v>
      </c>
      <c r="L2028" s="250">
        <v>800</v>
      </c>
    </row>
    <row r="2029" spans="2:12" ht="15" customHeight="1" x14ac:dyDescent="0.2">
      <c r="B2029" s="250" t="s">
        <v>1445</v>
      </c>
      <c r="C2029" s="250" t="s">
        <v>1440</v>
      </c>
      <c r="D2029" s="250" t="s">
        <v>58</v>
      </c>
      <c r="K2029" s="250">
        <v>0.4</v>
      </c>
      <c r="L2029" s="250">
        <v>1200</v>
      </c>
    </row>
    <row r="2030" spans="2:12" ht="15" customHeight="1" x14ac:dyDescent="0.2">
      <c r="B2030" s="250" t="s">
        <v>1446</v>
      </c>
      <c r="C2030" s="250" t="s">
        <v>1440</v>
      </c>
      <c r="D2030" s="250" t="s">
        <v>58</v>
      </c>
      <c r="K2030" s="250">
        <v>0.4</v>
      </c>
      <c r="L2030" s="250">
        <v>1600</v>
      </c>
    </row>
    <row r="2031" spans="2:12" ht="15" customHeight="1" x14ac:dyDescent="0.2">
      <c r="B2031" s="250" t="s">
        <v>1447</v>
      </c>
      <c r="C2031" s="250" t="s">
        <v>1440</v>
      </c>
      <c r="D2031" s="250" t="s">
        <v>58</v>
      </c>
      <c r="K2031" s="250">
        <v>0.4</v>
      </c>
      <c r="L2031" s="250">
        <v>1650</v>
      </c>
    </row>
    <row r="2032" spans="2:12" ht="15" customHeight="1" x14ac:dyDescent="0.2">
      <c r="B2032" s="250" t="s">
        <v>4185</v>
      </c>
      <c r="C2032" s="250" t="s">
        <v>1440</v>
      </c>
      <c r="D2032" s="250" t="s">
        <v>58</v>
      </c>
      <c r="K2032" s="250">
        <v>0.4</v>
      </c>
      <c r="L2032" s="250">
        <v>580</v>
      </c>
    </row>
    <row r="2033" spans="2:14" ht="15" customHeight="1" x14ac:dyDescent="0.2">
      <c r="B2033" s="250" t="s">
        <v>3929</v>
      </c>
      <c r="C2033" s="250" t="s">
        <v>1440</v>
      </c>
      <c r="D2033" s="250" t="s">
        <v>58</v>
      </c>
      <c r="K2033" s="250">
        <v>0.4</v>
      </c>
      <c r="L2033" s="250">
        <v>950</v>
      </c>
    </row>
    <row r="2034" spans="2:14" ht="15" customHeight="1" x14ac:dyDescent="0.2">
      <c r="B2034" s="250" t="s">
        <v>4186</v>
      </c>
      <c r="C2034" s="250" t="s">
        <v>1440</v>
      </c>
      <c r="D2034" s="250" t="s">
        <v>58</v>
      </c>
      <c r="K2034" s="250">
        <v>0.4</v>
      </c>
      <c r="L2034" s="250">
        <v>1600</v>
      </c>
    </row>
    <row r="2035" spans="2:14" ht="15" customHeight="1" x14ac:dyDescent="0.2">
      <c r="B2035" s="250" t="s">
        <v>4187</v>
      </c>
      <c r="C2035" s="250" t="s">
        <v>1440</v>
      </c>
      <c r="D2035" s="250" t="s">
        <v>58</v>
      </c>
      <c r="K2035" s="250">
        <v>0.4</v>
      </c>
      <c r="L2035" s="250">
        <v>2500</v>
      </c>
    </row>
    <row r="2036" spans="2:14" ht="15" customHeight="1" x14ac:dyDescent="0.2">
      <c r="B2036" s="250" t="s">
        <v>4188</v>
      </c>
      <c r="C2036" s="250" t="s">
        <v>1440</v>
      </c>
      <c r="D2036" s="250" t="s">
        <v>58</v>
      </c>
      <c r="K2036" s="250">
        <v>0.4</v>
      </c>
      <c r="L2036" s="250">
        <v>3000</v>
      </c>
    </row>
    <row r="2037" spans="2:14" ht="15" customHeight="1" x14ac:dyDescent="0.2">
      <c r="B2037" s="250" t="s">
        <v>1448</v>
      </c>
      <c r="C2037" s="250" t="s">
        <v>1440</v>
      </c>
      <c r="D2037" s="250" t="s">
        <v>58</v>
      </c>
      <c r="K2037" s="250">
        <v>0.4</v>
      </c>
      <c r="L2037" s="250">
        <v>525</v>
      </c>
    </row>
    <row r="2038" spans="2:14" ht="15" customHeight="1" x14ac:dyDescent="0.2">
      <c r="B2038" s="250" t="s">
        <v>4189</v>
      </c>
      <c r="C2038" s="250" t="s">
        <v>1440</v>
      </c>
      <c r="D2038" s="250" t="s">
        <v>58</v>
      </c>
      <c r="K2038" s="250">
        <v>0.4</v>
      </c>
      <c r="L2038" s="250">
        <v>625</v>
      </c>
    </row>
    <row r="2039" spans="2:14" ht="15" customHeight="1" x14ac:dyDescent="0.2">
      <c r="B2039" s="250" t="s">
        <v>3930</v>
      </c>
      <c r="C2039" s="250" t="s">
        <v>1440</v>
      </c>
      <c r="D2039" s="250" t="s">
        <v>58</v>
      </c>
      <c r="K2039" s="250">
        <v>0.4</v>
      </c>
      <c r="L2039" s="250">
        <v>1000</v>
      </c>
    </row>
    <row r="2040" spans="2:14" ht="15" customHeight="1" x14ac:dyDescent="0.2">
      <c r="B2040" s="250" t="s">
        <v>1449</v>
      </c>
      <c r="C2040" s="250" t="s">
        <v>1440</v>
      </c>
      <c r="D2040" s="250" t="s">
        <v>58</v>
      </c>
      <c r="K2040" s="250">
        <v>0.4</v>
      </c>
      <c r="L2040" s="250">
        <v>1525</v>
      </c>
    </row>
    <row r="2041" spans="2:14" ht="15" customHeight="1" x14ac:dyDescent="0.2">
      <c r="B2041" s="250" t="s">
        <v>1450</v>
      </c>
      <c r="C2041" s="250" t="s">
        <v>1440</v>
      </c>
      <c r="D2041" s="250" t="s">
        <v>58</v>
      </c>
      <c r="K2041" s="250">
        <v>0.4</v>
      </c>
      <c r="L2041" s="250">
        <v>1925</v>
      </c>
    </row>
    <row r="2042" spans="2:14" ht="15" customHeight="1" x14ac:dyDescent="0.2">
      <c r="B2042" s="250" t="s">
        <v>1451</v>
      </c>
      <c r="C2042" s="250" t="s">
        <v>1440</v>
      </c>
      <c r="D2042" s="250" t="s">
        <v>58</v>
      </c>
      <c r="K2042" s="250">
        <v>0.4</v>
      </c>
      <c r="L2042" s="250">
        <v>2000</v>
      </c>
    </row>
    <row r="2043" spans="2:14" ht="15" customHeight="1" x14ac:dyDescent="0.2">
      <c r="B2043" s="250" t="s">
        <v>4174</v>
      </c>
    </row>
    <row r="2044" spans="2:14" ht="15" customHeight="1" x14ac:dyDescent="0.2">
      <c r="B2044" s="249" t="s">
        <v>1452</v>
      </c>
      <c r="C2044" s="250" t="s">
        <v>1453</v>
      </c>
      <c r="D2044" s="250" t="s">
        <v>66</v>
      </c>
      <c r="K2044" s="250">
        <v>1</v>
      </c>
      <c r="L2044" s="250">
        <v>190</v>
      </c>
      <c r="N2044" s="250">
        <v>4</v>
      </c>
    </row>
    <row r="2045" spans="2:14" ht="15" customHeight="1" x14ac:dyDescent="0.2">
      <c r="B2045" s="249" t="s">
        <v>4190</v>
      </c>
      <c r="C2045" s="250" t="s">
        <v>1453</v>
      </c>
      <c r="D2045" s="250" t="s">
        <v>66</v>
      </c>
      <c r="K2045" s="250">
        <v>1</v>
      </c>
      <c r="L2045" s="250">
        <v>230</v>
      </c>
      <c r="N2045" s="250">
        <v>4</v>
      </c>
    </row>
    <row r="2046" spans="2:14" ht="15" customHeight="1" x14ac:dyDescent="0.2">
      <c r="B2046" s="249" t="s">
        <v>4191</v>
      </c>
      <c r="C2046" s="250" t="s">
        <v>1453</v>
      </c>
      <c r="D2046" s="250" t="s">
        <v>66</v>
      </c>
      <c r="K2046" s="250">
        <v>1</v>
      </c>
      <c r="L2046" s="250">
        <v>320</v>
      </c>
      <c r="N2046" s="250">
        <v>4</v>
      </c>
    </row>
    <row r="2047" spans="2:14" ht="15" customHeight="1" x14ac:dyDescent="0.2">
      <c r="B2047" s="249" t="s">
        <v>4192</v>
      </c>
      <c r="C2047" s="250" t="s">
        <v>1453</v>
      </c>
      <c r="D2047" s="250" t="s">
        <v>66</v>
      </c>
      <c r="K2047" s="250">
        <v>1</v>
      </c>
      <c r="L2047" s="250">
        <v>50</v>
      </c>
      <c r="N2047" s="250">
        <v>4</v>
      </c>
    </row>
    <row r="2048" spans="2:14" ht="15" customHeight="1" x14ac:dyDescent="0.2">
      <c r="B2048" s="249" t="s">
        <v>183</v>
      </c>
      <c r="C2048" s="250" t="s">
        <v>1453</v>
      </c>
      <c r="D2048" s="250" t="s">
        <v>66</v>
      </c>
      <c r="K2048" s="250">
        <v>1</v>
      </c>
      <c r="L2048" s="250">
        <v>70</v>
      </c>
      <c r="N2048" s="250">
        <v>4</v>
      </c>
    </row>
    <row r="2049" spans="2:14" ht="15" customHeight="1" x14ac:dyDescent="0.2">
      <c r="B2049" s="249" t="s">
        <v>1454</v>
      </c>
      <c r="C2049" s="250" t="s">
        <v>1453</v>
      </c>
      <c r="D2049" s="250" t="s">
        <v>66</v>
      </c>
      <c r="K2049" s="250">
        <v>1</v>
      </c>
      <c r="L2049" s="250">
        <v>90</v>
      </c>
      <c r="N2049" s="250">
        <v>8</v>
      </c>
    </row>
    <row r="2050" spans="2:14" ht="15" customHeight="1" x14ac:dyDescent="0.2">
      <c r="B2050" s="249" t="s">
        <v>76</v>
      </c>
      <c r="C2050" s="250" t="s">
        <v>1453</v>
      </c>
      <c r="D2050" s="250" t="s">
        <v>66</v>
      </c>
      <c r="K2050" s="250">
        <v>1</v>
      </c>
      <c r="L2050" s="250">
        <v>160</v>
      </c>
      <c r="N2050" s="250">
        <v>8</v>
      </c>
    </row>
    <row r="2051" spans="2:14" ht="15" customHeight="1" x14ac:dyDescent="0.2">
      <c r="B2051" s="249" t="s">
        <v>1455</v>
      </c>
      <c r="C2051" s="250" t="s">
        <v>1453</v>
      </c>
      <c r="D2051" s="250" t="s">
        <v>66</v>
      </c>
      <c r="K2051" s="250">
        <v>1</v>
      </c>
      <c r="L2051" s="250">
        <v>220</v>
      </c>
      <c r="N2051" s="250">
        <v>8</v>
      </c>
    </row>
    <row r="2052" spans="2:14" ht="15" customHeight="1" x14ac:dyDescent="0.2">
      <c r="B2052" s="249" t="s">
        <v>1456</v>
      </c>
      <c r="C2052" s="250" t="s">
        <v>1453</v>
      </c>
      <c r="D2052" s="250" t="s">
        <v>66</v>
      </c>
      <c r="K2052" s="250">
        <v>1</v>
      </c>
      <c r="L2052" s="250">
        <v>260</v>
      </c>
      <c r="N2052" s="250">
        <v>8</v>
      </c>
    </row>
    <row r="2053" spans="2:14" ht="15" customHeight="1" x14ac:dyDescent="0.2">
      <c r="B2053" s="250" t="s">
        <v>4131</v>
      </c>
    </row>
    <row r="2054" spans="2:14" ht="15" customHeight="1" x14ac:dyDescent="0.2">
      <c r="B2054" s="250" t="s">
        <v>1457</v>
      </c>
      <c r="C2054" s="250" t="s">
        <v>1459</v>
      </c>
      <c r="D2054" s="250" t="s">
        <v>1458</v>
      </c>
      <c r="K2054" s="250">
        <v>1</v>
      </c>
      <c r="L2054" s="250">
        <v>13000</v>
      </c>
    </row>
    <row r="2055" spans="2:14" ht="15" customHeight="1" x14ac:dyDescent="0.2">
      <c r="B2055" s="249" t="s">
        <v>1460</v>
      </c>
      <c r="C2055" s="250" t="s">
        <v>1462</v>
      </c>
      <c r="D2055" s="250" t="s">
        <v>1461</v>
      </c>
      <c r="K2055" s="250">
        <v>1</v>
      </c>
      <c r="L2055" s="250">
        <v>5500</v>
      </c>
    </row>
    <row r="2056" spans="2:14" ht="15" customHeight="1" x14ac:dyDescent="0.2">
      <c r="B2056" s="249" t="s">
        <v>1463</v>
      </c>
      <c r="C2056" s="250" t="s">
        <v>1459</v>
      </c>
      <c r="D2056" s="250" t="s">
        <v>1464</v>
      </c>
      <c r="K2056" s="250">
        <v>1</v>
      </c>
      <c r="L2056" s="250">
        <v>7800</v>
      </c>
    </row>
    <row r="2057" spans="2:14" ht="15" customHeight="1" x14ac:dyDescent="0.2">
      <c r="B2057" s="250" t="s">
        <v>3900</v>
      </c>
    </row>
    <row r="2058" spans="2:14" ht="15" customHeight="1" x14ac:dyDescent="0.2">
      <c r="B2058" s="249" t="s">
        <v>1465</v>
      </c>
      <c r="C2058" s="250" t="s">
        <v>4193</v>
      </c>
      <c r="D2058" s="250" t="s">
        <v>1466</v>
      </c>
      <c r="K2058" s="250">
        <v>1</v>
      </c>
      <c r="L2058" s="250">
        <v>520</v>
      </c>
    </row>
    <row r="2059" spans="2:14" ht="15" customHeight="1" x14ac:dyDescent="0.2">
      <c r="B2059" s="249" t="s">
        <v>1468</v>
      </c>
      <c r="C2059" s="250" t="s">
        <v>4193</v>
      </c>
      <c r="D2059" s="250" t="s">
        <v>1466</v>
      </c>
      <c r="K2059" s="250">
        <v>1</v>
      </c>
      <c r="L2059" s="250">
        <v>540</v>
      </c>
    </row>
    <row r="2060" spans="2:14" ht="15" customHeight="1" x14ac:dyDescent="0.2">
      <c r="B2060" s="249" t="s">
        <v>1469</v>
      </c>
      <c r="C2060" s="250" t="s">
        <v>4194</v>
      </c>
      <c r="D2060" s="250" t="s">
        <v>1466</v>
      </c>
      <c r="K2060" s="250">
        <v>1</v>
      </c>
      <c r="L2060" s="250">
        <v>560</v>
      </c>
    </row>
    <row r="2061" spans="2:14" ht="15" customHeight="1" x14ac:dyDescent="0.2">
      <c r="B2061" s="249" t="s">
        <v>1470</v>
      </c>
      <c r="C2061" s="250" t="s">
        <v>4194</v>
      </c>
      <c r="D2061" s="250" t="s">
        <v>1466</v>
      </c>
      <c r="K2061" s="250">
        <v>1</v>
      </c>
      <c r="L2061" s="250">
        <v>590</v>
      </c>
    </row>
    <row r="2062" spans="2:14" ht="15" customHeight="1" x14ac:dyDescent="0.2">
      <c r="B2062" s="249" t="s">
        <v>1471</v>
      </c>
      <c r="C2062" s="250" t="s">
        <v>4193</v>
      </c>
      <c r="D2062" s="250" t="s">
        <v>1466</v>
      </c>
      <c r="K2062" s="250">
        <v>1</v>
      </c>
      <c r="L2062" s="250">
        <v>590</v>
      </c>
    </row>
    <row r="2063" spans="2:14" ht="15" customHeight="1" x14ac:dyDescent="0.2">
      <c r="B2063" s="249" t="s">
        <v>1472</v>
      </c>
      <c r="C2063" s="250" t="s">
        <v>4195</v>
      </c>
      <c r="D2063" s="250" t="s">
        <v>1466</v>
      </c>
      <c r="K2063" s="250">
        <v>1</v>
      </c>
      <c r="L2063" s="250">
        <v>620</v>
      </c>
    </row>
    <row r="2064" spans="2:14" ht="15" customHeight="1" x14ac:dyDescent="0.2">
      <c r="B2064" s="249" t="s">
        <v>1473</v>
      </c>
      <c r="C2064" s="250" t="s">
        <v>4195</v>
      </c>
      <c r="D2064" s="250" t="s">
        <v>1466</v>
      </c>
      <c r="K2064" s="250">
        <v>1</v>
      </c>
      <c r="L2064" s="250">
        <v>650</v>
      </c>
    </row>
    <row r="2065" spans="2:12" ht="15" customHeight="1" x14ac:dyDescent="0.2">
      <c r="B2065" s="249" t="s">
        <v>1474</v>
      </c>
      <c r="C2065" s="250" t="s">
        <v>4195</v>
      </c>
      <c r="D2065" s="250" t="s">
        <v>1466</v>
      </c>
      <c r="K2065" s="250">
        <v>1</v>
      </c>
      <c r="L2065" s="250">
        <v>900</v>
      </c>
    </row>
    <row r="2066" spans="2:12" ht="15" customHeight="1" x14ac:dyDescent="0.2">
      <c r="B2066" s="249" t="s">
        <v>1475</v>
      </c>
      <c r="C2066" s="250" t="s">
        <v>4194</v>
      </c>
      <c r="D2066" s="250" t="s">
        <v>1466</v>
      </c>
      <c r="K2066" s="250">
        <v>1</v>
      </c>
      <c r="L2066" s="250">
        <v>1110</v>
      </c>
    </row>
    <row r="2067" spans="2:12" ht="15" customHeight="1" x14ac:dyDescent="0.2">
      <c r="B2067" s="249" t="s">
        <v>1476</v>
      </c>
      <c r="C2067" s="250" t="s">
        <v>4194</v>
      </c>
      <c r="D2067" s="250" t="s">
        <v>1466</v>
      </c>
      <c r="K2067" s="250">
        <v>1</v>
      </c>
      <c r="L2067" s="250">
        <v>540</v>
      </c>
    </row>
    <row r="2068" spans="2:12" ht="15" customHeight="1" x14ac:dyDescent="0.2">
      <c r="B2068" s="249" t="s">
        <v>1477</v>
      </c>
      <c r="C2068" s="250" t="s">
        <v>4195</v>
      </c>
      <c r="D2068" s="250" t="s">
        <v>1466</v>
      </c>
      <c r="K2068" s="250">
        <v>1</v>
      </c>
      <c r="L2068" s="250">
        <v>570</v>
      </c>
    </row>
    <row r="2069" spans="2:12" ht="15" customHeight="1" x14ac:dyDescent="0.2">
      <c r="B2069" s="249" t="s">
        <v>1478</v>
      </c>
      <c r="C2069" s="250" t="s">
        <v>4193</v>
      </c>
      <c r="D2069" s="250" t="s">
        <v>1466</v>
      </c>
      <c r="K2069" s="250">
        <v>1</v>
      </c>
      <c r="L2069" s="250">
        <v>590</v>
      </c>
    </row>
    <row r="2070" spans="2:12" ht="15" customHeight="1" x14ac:dyDescent="0.2">
      <c r="B2070" s="249" t="s">
        <v>1479</v>
      </c>
      <c r="C2070" s="250" t="s">
        <v>4193</v>
      </c>
      <c r="D2070" s="250" t="s">
        <v>1466</v>
      </c>
      <c r="K2070" s="250">
        <v>1</v>
      </c>
      <c r="L2070" s="250">
        <v>650</v>
      </c>
    </row>
    <row r="2071" spans="2:12" ht="15" customHeight="1" x14ac:dyDescent="0.2">
      <c r="B2071" s="249" t="s">
        <v>1480</v>
      </c>
      <c r="C2071" s="250" t="s">
        <v>4195</v>
      </c>
      <c r="D2071" s="250" t="s">
        <v>1466</v>
      </c>
      <c r="K2071" s="250">
        <v>1</v>
      </c>
      <c r="L2071" s="250">
        <v>870</v>
      </c>
    </row>
    <row r="2072" spans="2:12" ht="15" customHeight="1" x14ac:dyDescent="0.2">
      <c r="B2072" s="250" t="s">
        <v>1481</v>
      </c>
      <c r="C2072" s="250" t="s">
        <v>4194</v>
      </c>
      <c r="D2072" s="250" t="s">
        <v>68</v>
      </c>
      <c r="K2072" s="250">
        <v>1</v>
      </c>
      <c r="L2072" s="250">
        <v>370</v>
      </c>
    </row>
    <row r="2073" spans="2:12" ht="15" customHeight="1" x14ac:dyDescent="0.2">
      <c r="B2073" s="250" t="s">
        <v>3900</v>
      </c>
    </row>
    <row r="2074" spans="2:12" ht="15" customHeight="1" x14ac:dyDescent="0.2">
      <c r="B2074" s="250" t="s">
        <v>4131</v>
      </c>
    </row>
    <row r="2075" spans="2:12" ht="15" customHeight="1" x14ac:dyDescent="0.2">
      <c r="B2075" s="250" t="s">
        <v>4196</v>
      </c>
      <c r="C2075" s="250" t="s">
        <v>4197</v>
      </c>
      <c r="D2075" s="250" t="s">
        <v>4198</v>
      </c>
      <c r="K2075" s="250">
        <v>1</v>
      </c>
      <c r="L2075" s="250">
        <v>350</v>
      </c>
    </row>
    <row r="2076" spans="2:12" ht="15" customHeight="1" x14ac:dyDescent="0.2">
      <c r="B2076" s="250" t="s">
        <v>4199</v>
      </c>
      <c r="C2076" s="250" t="s">
        <v>3931</v>
      </c>
      <c r="D2076" s="250" t="s">
        <v>3932</v>
      </c>
      <c r="K2076" s="250">
        <v>1</v>
      </c>
      <c r="L2076" s="250">
        <v>400</v>
      </c>
    </row>
    <row r="2077" spans="2:12" ht="15" customHeight="1" x14ac:dyDescent="0.2">
      <c r="B2077" s="250" t="s">
        <v>4200</v>
      </c>
      <c r="C2077" s="250" t="s">
        <v>4201</v>
      </c>
      <c r="D2077" s="250" t="s">
        <v>4202</v>
      </c>
      <c r="K2077" s="250">
        <v>1</v>
      </c>
      <c r="L2077" s="250">
        <v>600</v>
      </c>
    </row>
    <row r="2078" spans="2:12" ht="15" customHeight="1" x14ac:dyDescent="0.2">
      <c r="B2078" s="250" t="s">
        <v>4203</v>
      </c>
      <c r="C2078" s="250" t="s">
        <v>3931</v>
      </c>
      <c r="D2078" s="250" t="s">
        <v>4202</v>
      </c>
      <c r="K2078" s="250">
        <v>1</v>
      </c>
      <c r="L2078" s="250">
        <v>750</v>
      </c>
    </row>
    <row r="2079" spans="2:12" ht="15" customHeight="1" x14ac:dyDescent="0.2">
      <c r="B2079" s="250" t="s">
        <v>3933</v>
      </c>
      <c r="C2079" s="250" t="s">
        <v>4197</v>
      </c>
      <c r="D2079" s="250" t="s">
        <v>58</v>
      </c>
      <c r="K2079" s="250">
        <v>1</v>
      </c>
      <c r="L2079" s="250">
        <v>85</v>
      </c>
    </row>
    <row r="2080" spans="2:12" ht="15" customHeight="1" x14ac:dyDescent="0.2">
      <c r="B2080" s="250" t="s">
        <v>3934</v>
      </c>
      <c r="C2080" s="250" t="s">
        <v>4197</v>
      </c>
      <c r="D2080" s="250" t="s">
        <v>58</v>
      </c>
      <c r="K2080" s="250">
        <v>1</v>
      </c>
      <c r="L2080" s="250">
        <v>140</v>
      </c>
    </row>
    <row r="2081" spans="2:12" ht="15" customHeight="1" x14ac:dyDescent="0.2">
      <c r="B2081" s="250" t="s">
        <v>2133</v>
      </c>
      <c r="C2081" s="250" t="s">
        <v>4201</v>
      </c>
      <c r="D2081" s="250" t="s">
        <v>58</v>
      </c>
      <c r="K2081" s="250">
        <v>1</v>
      </c>
      <c r="L2081" s="250">
        <v>325</v>
      </c>
    </row>
    <row r="2082" spans="2:12" ht="15" customHeight="1" x14ac:dyDescent="0.2">
      <c r="B2082" s="250" t="s">
        <v>2134</v>
      </c>
      <c r="C2082" s="250" t="s">
        <v>3931</v>
      </c>
      <c r="D2082" s="250" t="s">
        <v>58</v>
      </c>
      <c r="K2082" s="250">
        <v>1</v>
      </c>
      <c r="L2082" s="250">
        <v>500</v>
      </c>
    </row>
    <row r="2083" spans="2:12" ht="15" customHeight="1" x14ac:dyDescent="0.2">
      <c r="B2083" s="250" t="s">
        <v>4131</v>
      </c>
    </row>
    <row r="2084" spans="2:12" ht="15" customHeight="1" x14ac:dyDescent="0.2">
      <c r="B2084" s="250" t="s">
        <v>4204</v>
      </c>
      <c r="C2084" s="250" t="s">
        <v>3935</v>
      </c>
      <c r="D2084" s="250" t="s">
        <v>4205</v>
      </c>
      <c r="K2084" s="250">
        <v>1</v>
      </c>
      <c r="L2084" s="250">
        <v>95</v>
      </c>
    </row>
    <row r="2085" spans="2:12" ht="15" customHeight="1" x14ac:dyDescent="0.2">
      <c r="B2085" s="250" t="s">
        <v>4206</v>
      </c>
      <c r="C2085" s="250" t="s">
        <v>4207</v>
      </c>
      <c r="D2085" s="250" t="s">
        <v>4208</v>
      </c>
      <c r="K2085" s="250">
        <v>1</v>
      </c>
      <c r="L2085" s="250">
        <v>185</v>
      </c>
    </row>
    <row r="2086" spans="2:12" ht="15" customHeight="1" x14ac:dyDescent="0.2">
      <c r="B2086" s="250" t="s">
        <v>4131</v>
      </c>
    </row>
    <row r="2087" spans="2:12" ht="15" customHeight="1" x14ac:dyDescent="0.2">
      <c r="B2087" s="250" t="s">
        <v>1803</v>
      </c>
      <c r="C2087" s="250" t="s">
        <v>1805</v>
      </c>
      <c r="D2087" s="250" t="s">
        <v>1804</v>
      </c>
      <c r="K2087" s="250">
        <v>1</v>
      </c>
    </row>
    <row r="2088" spans="2:12" ht="15" customHeight="1" x14ac:dyDescent="0.2">
      <c r="B2088" s="250" t="s">
        <v>1806</v>
      </c>
      <c r="C2088" s="250" t="s">
        <v>1805</v>
      </c>
      <c r="D2088" s="250" t="s">
        <v>1807</v>
      </c>
      <c r="K2088" s="250">
        <v>1</v>
      </c>
    </row>
    <row r="2089" spans="2:12" ht="15" customHeight="1" x14ac:dyDescent="0.2">
      <c r="B2089" s="250" t="s">
        <v>1808</v>
      </c>
      <c r="C2089" s="250" t="s">
        <v>1805</v>
      </c>
      <c r="D2089" s="250" t="s">
        <v>1804</v>
      </c>
      <c r="K2089" s="250">
        <v>1</v>
      </c>
    </row>
    <row r="2090" spans="2:12" ht="15" customHeight="1" x14ac:dyDescent="0.2">
      <c r="B2090" s="250" t="s">
        <v>1809</v>
      </c>
      <c r="C2090" s="250" t="s">
        <v>1805</v>
      </c>
      <c r="D2090" s="250" t="s">
        <v>1807</v>
      </c>
      <c r="K2090" s="250">
        <v>1</v>
      </c>
    </row>
    <row r="2091" spans="2:12" ht="15" customHeight="1" x14ac:dyDescent="0.2">
      <c r="B2091" s="250" t="s">
        <v>3900</v>
      </c>
    </row>
    <row r="2092" spans="2:12" ht="15" customHeight="1" x14ac:dyDescent="0.2">
      <c r="B2092" s="250" t="s">
        <v>4209</v>
      </c>
      <c r="C2092" s="250" t="s">
        <v>3936</v>
      </c>
      <c r="D2092" s="250" t="s">
        <v>1810</v>
      </c>
      <c r="K2092" s="250">
        <v>1</v>
      </c>
      <c r="L2092" s="250">
        <v>300</v>
      </c>
    </row>
    <row r="2093" spans="2:12" ht="15" customHeight="1" x14ac:dyDescent="0.2">
      <c r="B2093" s="250" t="s">
        <v>4210</v>
      </c>
      <c r="C2093" s="250" t="s">
        <v>4211</v>
      </c>
      <c r="D2093" s="250" t="s">
        <v>1810</v>
      </c>
      <c r="K2093" s="250">
        <v>1</v>
      </c>
      <c r="L2093" s="250">
        <v>600</v>
      </c>
    </row>
    <row r="2094" spans="2:12" ht="15" customHeight="1" x14ac:dyDescent="0.2">
      <c r="B2094" s="250" t="s">
        <v>4212</v>
      </c>
      <c r="C2094" s="250" t="s">
        <v>3936</v>
      </c>
      <c r="D2094" s="250" t="s">
        <v>1810</v>
      </c>
      <c r="K2094" s="250">
        <v>1</v>
      </c>
      <c r="L2094" s="250">
        <v>900</v>
      </c>
    </row>
    <row r="2095" spans="2:12" ht="15" customHeight="1" x14ac:dyDescent="0.2">
      <c r="B2095" s="250" t="s">
        <v>4213</v>
      </c>
      <c r="C2095" s="250" t="s">
        <v>3936</v>
      </c>
      <c r="D2095" s="250" t="s">
        <v>1810</v>
      </c>
      <c r="K2095" s="250">
        <v>1</v>
      </c>
      <c r="L2095" s="250">
        <v>2100</v>
      </c>
    </row>
    <row r="2096" spans="2:12" ht="15" customHeight="1" x14ac:dyDescent="0.2">
      <c r="B2096" s="250" t="s">
        <v>4214</v>
      </c>
      <c r="C2096" s="250" t="s">
        <v>4215</v>
      </c>
      <c r="D2096" s="250" t="s">
        <v>1810</v>
      </c>
      <c r="K2096" s="250">
        <v>1</v>
      </c>
      <c r="L2096" s="250">
        <v>1000</v>
      </c>
    </row>
    <row r="2097" spans="1:12" ht="15" customHeight="1" x14ac:dyDescent="0.2">
      <c r="B2097" s="250" t="s">
        <v>4216</v>
      </c>
      <c r="C2097" s="250" t="s">
        <v>4211</v>
      </c>
      <c r="D2097" s="250" t="s">
        <v>1810</v>
      </c>
      <c r="K2097" s="250">
        <v>1</v>
      </c>
      <c r="L2097" s="250">
        <v>1750</v>
      </c>
    </row>
    <row r="2098" spans="1:12" ht="15" customHeight="1" x14ac:dyDescent="0.2">
      <c r="B2098" s="250" t="s">
        <v>4217</v>
      </c>
      <c r="C2098" s="250" t="s">
        <v>4215</v>
      </c>
      <c r="D2098" s="250" t="s">
        <v>1811</v>
      </c>
      <c r="K2098" s="250">
        <v>1</v>
      </c>
      <c r="L2098" s="250">
        <v>500</v>
      </c>
    </row>
    <row r="2099" spans="1:12" ht="15" customHeight="1" x14ac:dyDescent="0.2">
      <c r="B2099" s="250" t="s">
        <v>4218</v>
      </c>
      <c r="C2099" s="250" t="s">
        <v>3936</v>
      </c>
      <c r="D2099" s="250" t="s">
        <v>1812</v>
      </c>
      <c r="K2099" s="250">
        <v>1</v>
      </c>
      <c r="L2099" s="250">
        <v>50</v>
      </c>
    </row>
    <row r="2100" spans="1:12" ht="15" customHeight="1" x14ac:dyDescent="0.2">
      <c r="B2100" s="250" t="s">
        <v>4219</v>
      </c>
      <c r="C2100" s="250" t="s">
        <v>4215</v>
      </c>
      <c r="D2100" s="250" t="s">
        <v>1812</v>
      </c>
      <c r="K2100" s="250">
        <v>1</v>
      </c>
      <c r="L2100" s="250">
        <v>65</v>
      </c>
    </row>
    <row r="2101" spans="1:12" ht="15" customHeight="1" x14ac:dyDescent="0.2">
      <c r="B2101" s="250" t="s">
        <v>4220</v>
      </c>
      <c r="C2101" s="250" t="s">
        <v>4215</v>
      </c>
      <c r="D2101" s="250" t="s">
        <v>1812</v>
      </c>
      <c r="K2101" s="250">
        <v>1</v>
      </c>
      <c r="L2101" s="250">
        <v>90</v>
      </c>
    </row>
    <row r="2102" spans="1:12" ht="15" customHeight="1" x14ac:dyDescent="0.2">
      <c r="B2102" s="250" t="s">
        <v>4221</v>
      </c>
      <c r="C2102" s="250" t="s">
        <v>4215</v>
      </c>
      <c r="D2102" s="250" t="s">
        <v>1812</v>
      </c>
      <c r="K2102" s="250">
        <v>1</v>
      </c>
      <c r="L2102" s="250">
        <v>110</v>
      </c>
    </row>
    <row r="2103" spans="1:12" ht="15" customHeight="1" x14ac:dyDescent="0.2">
      <c r="B2103" s="250" t="s">
        <v>4222</v>
      </c>
      <c r="C2103" s="250" t="s">
        <v>4215</v>
      </c>
      <c r="D2103" s="250" t="s">
        <v>1812</v>
      </c>
      <c r="K2103" s="250">
        <v>1</v>
      </c>
      <c r="L2103" s="250">
        <v>150</v>
      </c>
    </row>
    <row r="2104" spans="1:12" ht="15" customHeight="1" x14ac:dyDescent="0.2">
      <c r="B2104" s="250" t="s">
        <v>4131</v>
      </c>
    </row>
    <row r="2105" spans="1:12" ht="15" customHeight="1" x14ac:dyDescent="0.2">
      <c r="B2105" s="250" t="s">
        <v>1892</v>
      </c>
      <c r="C2105" s="250" t="s">
        <v>1891</v>
      </c>
      <c r="D2105" s="250" t="s">
        <v>3937</v>
      </c>
      <c r="K2105" s="250">
        <v>1</v>
      </c>
      <c r="L2105" s="250">
        <v>1250</v>
      </c>
    </row>
    <row r="2106" spans="1:12" ht="15" customHeight="1" x14ac:dyDescent="0.2">
      <c r="B2106" s="250" t="s">
        <v>1893</v>
      </c>
      <c r="C2106" s="250" t="s">
        <v>1891</v>
      </c>
      <c r="D2106" s="250" t="s">
        <v>4223</v>
      </c>
      <c r="K2106" s="250">
        <v>1</v>
      </c>
      <c r="L2106" s="250">
        <v>1650</v>
      </c>
    </row>
    <row r="2107" spans="1:12" ht="15" customHeight="1" x14ac:dyDescent="0.2">
      <c r="B2107" s="250" t="s">
        <v>1894</v>
      </c>
      <c r="C2107" s="250" t="s">
        <v>1891</v>
      </c>
      <c r="D2107" s="250" t="s">
        <v>4224</v>
      </c>
      <c r="K2107" s="250">
        <v>1</v>
      </c>
      <c r="L2107" s="250">
        <v>2080</v>
      </c>
    </row>
    <row r="2108" spans="1:12" ht="15" customHeight="1" x14ac:dyDescent="0.2">
      <c r="B2108" s="250" t="s">
        <v>4131</v>
      </c>
    </row>
    <row r="2109" spans="1:12" ht="15" customHeight="1" x14ac:dyDescent="0.2">
      <c r="A2109" s="248"/>
      <c r="B2109" s="249" t="s">
        <v>713</v>
      </c>
      <c r="C2109" s="250" t="s">
        <v>715</v>
      </c>
      <c r="D2109" s="250" t="s">
        <v>714</v>
      </c>
      <c r="K2109" s="250">
        <v>1</v>
      </c>
      <c r="L2109" s="250">
        <v>350</v>
      </c>
    </row>
    <row r="2110" spans="1:12" ht="15" customHeight="1" x14ac:dyDescent="0.2">
      <c r="A2110" s="248"/>
      <c r="B2110" s="250" t="s">
        <v>716</v>
      </c>
      <c r="C2110" s="250" t="s">
        <v>715</v>
      </c>
      <c r="D2110" s="250" t="s">
        <v>714</v>
      </c>
      <c r="K2110" s="250">
        <v>1</v>
      </c>
      <c r="L2110" s="249">
        <v>230</v>
      </c>
    </row>
    <row r="2111" spans="1:12" ht="15" customHeight="1" x14ac:dyDescent="0.2">
      <c r="A2111" s="248"/>
      <c r="B2111" s="249" t="s">
        <v>717</v>
      </c>
      <c r="C2111" s="250" t="s">
        <v>715</v>
      </c>
      <c r="D2111" s="250" t="s">
        <v>714</v>
      </c>
      <c r="K2111" s="250">
        <v>1</v>
      </c>
      <c r="L2111" s="250">
        <v>420</v>
      </c>
    </row>
    <row r="2112" spans="1:12" ht="15" customHeight="1" x14ac:dyDescent="0.2">
      <c r="A2112" s="248"/>
      <c r="B2112" s="249" t="s">
        <v>718</v>
      </c>
      <c r="C2112" s="250" t="s">
        <v>715</v>
      </c>
      <c r="D2112" s="250" t="s">
        <v>714</v>
      </c>
      <c r="K2112" s="250">
        <v>1</v>
      </c>
      <c r="L2112" s="250">
        <v>270</v>
      </c>
    </row>
    <row r="2113" spans="2:12" ht="15" customHeight="1" x14ac:dyDescent="0.2">
      <c r="B2113" s="250" t="s">
        <v>719</v>
      </c>
      <c r="C2113" s="250" t="s">
        <v>715</v>
      </c>
      <c r="D2113" s="250" t="s">
        <v>714</v>
      </c>
      <c r="K2113" s="250">
        <v>1</v>
      </c>
      <c r="L2113" s="250">
        <v>250</v>
      </c>
    </row>
    <row r="2114" spans="2:12" ht="15" customHeight="1" x14ac:dyDescent="0.2">
      <c r="B2114" s="250" t="s">
        <v>3938</v>
      </c>
      <c r="C2114" s="250" t="s">
        <v>715</v>
      </c>
      <c r="D2114" s="250" t="s">
        <v>714</v>
      </c>
      <c r="K2114" s="250">
        <v>1</v>
      </c>
      <c r="L2114" s="250">
        <v>360</v>
      </c>
    </row>
    <row r="2115" spans="2:12" ht="15" customHeight="1" x14ac:dyDescent="0.2">
      <c r="B2115" s="250" t="s">
        <v>3939</v>
      </c>
      <c r="C2115" s="250" t="s">
        <v>715</v>
      </c>
      <c r="D2115" s="250" t="s">
        <v>714</v>
      </c>
      <c r="K2115" s="250">
        <v>1</v>
      </c>
      <c r="L2115" s="250">
        <v>360</v>
      </c>
    </row>
    <row r="2116" spans="2:12" ht="15" customHeight="1" x14ac:dyDescent="0.2">
      <c r="B2116" s="250" t="s">
        <v>237</v>
      </c>
      <c r="C2116" s="250" t="s">
        <v>715</v>
      </c>
      <c r="D2116" s="250" t="s">
        <v>714</v>
      </c>
      <c r="K2116" s="250">
        <v>1</v>
      </c>
      <c r="L2116" s="250">
        <v>180</v>
      </c>
    </row>
    <row r="2117" spans="2:12" ht="15" customHeight="1" x14ac:dyDescent="0.2">
      <c r="B2117" s="250" t="s">
        <v>720</v>
      </c>
      <c r="C2117" s="250" t="s">
        <v>715</v>
      </c>
      <c r="D2117" s="250" t="s">
        <v>714</v>
      </c>
      <c r="K2117" s="250">
        <v>1</v>
      </c>
      <c r="L2117" s="250">
        <v>150</v>
      </c>
    </row>
    <row r="2118" spans="2:12" ht="15" customHeight="1" x14ac:dyDescent="0.2">
      <c r="B2118" s="249" t="s">
        <v>721</v>
      </c>
      <c r="C2118" s="250" t="s">
        <v>715</v>
      </c>
      <c r="D2118" s="250" t="s">
        <v>714</v>
      </c>
      <c r="K2118" s="250">
        <v>1</v>
      </c>
      <c r="L2118" s="250">
        <v>180</v>
      </c>
    </row>
    <row r="2119" spans="2:12" ht="15" customHeight="1" x14ac:dyDescent="0.2">
      <c r="B2119" s="249" t="s">
        <v>3940</v>
      </c>
      <c r="C2119" s="250" t="s">
        <v>715</v>
      </c>
      <c r="D2119" s="250" t="s">
        <v>714</v>
      </c>
      <c r="K2119" s="250">
        <v>1</v>
      </c>
      <c r="L2119" s="250">
        <v>180</v>
      </c>
    </row>
    <row r="2120" spans="2:12" ht="15" customHeight="1" x14ac:dyDescent="0.2">
      <c r="B2120" s="250" t="s">
        <v>722</v>
      </c>
      <c r="C2120" s="250" t="s">
        <v>715</v>
      </c>
      <c r="D2120" s="250" t="s">
        <v>714</v>
      </c>
      <c r="K2120" s="250">
        <v>1</v>
      </c>
      <c r="L2120" s="250">
        <v>150</v>
      </c>
    </row>
    <row r="2121" spans="2:12" ht="15" customHeight="1" x14ac:dyDescent="0.2">
      <c r="B2121" s="250" t="s">
        <v>723</v>
      </c>
      <c r="C2121" s="250" t="s">
        <v>715</v>
      </c>
      <c r="D2121" s="250" t="s">
        <v>714</v>
      </c>
      <c r="K2121" s="250">
        <v>1</v>
      </c>
      <c r="L2121" s="250">
        <v>150</v>
      </c>
    </row>
    <row r="2122" spans="2:12" ht="15" customHeight="1" x14ac:dyDescent="0.2">
      <c r="B2122" s="250" t="s">
        <v>724</v>
      </c>
      <c r="C2122" s="250" t="s">
        <v>715</v>
      </c>
      <c r="D2122" s="250" t="s">
        <v>714</v>
      </c>
      <c r="K2122" s="250">
        <v>1</v>
      </c>
      <c r="L2122" s="250">
        <v>100</v>
      </c>
    </row>
    <row r="2123" spans="2:12" ht="15" customHeight="1" x14ac:dyDescent="0.2">
      <c r="B2123" s="250" t="s">
        <v>4131</v>
      </c>
    </row>
    <row r="2124" spans="2:12" ht="15" customHeight="1" x14ac:dyDescent="0.2">
      <c r="B2124" s="250" t="s">
        <v>836</v>
      </c>
      <c r="C2124" s="250" t="s">
        <v>838</v>
      </c>
      <c r="D2124" s="250" t="s">
        <v>837</v>
      </c>
      <c r="K2124" s="250">
        <v>1</v>
      </c>
      <c r="L2124" s="250">
        <v>1500</v>
      </c>
    </row>
    <row r="2125" spans="2:12" ht="15" customHeight="1" x14ac:dyDescent="0.2">
      <c r="B2125" s="250" t="s">
        <v>839</v>
      </c>
      <c r="C2125" s="250" t="s">
        <v>838</v>
      </c>
      <c r="D2125" s="250" t="s">
        <v>837</v>
      </c>
      <c r="K2125" s="250">
        <v>1</v>
      </c>
      <c r="L2125" s="250">
        <v>2500</v>
      </c>
    </row>
    <row r="2126" spans="2:12" ht="15" customHeight="1" x14ac:dyDescent="0.2">
      <c r="B2126" s="250" t="s">
        <v>151</v>
      </c>
      <c r="C2126" s="250" t="s">
        <v>838</v>
      </c>
      <c r="D2126" s="250" t="s">
        <v>837</v>
      </c>
      <c r="K2126" s="250">
        <v>1</v>
      </c>
      <c r="L2126" s="250">
        <v>3200</v>
      </c>
    </row>
    <row r="2127" spans="2:12" ht="15" customHeight="1" x14ac:dyDescent="0.2">
      <c r="B2127" s="250" t="s">
        <v>840</v>
      </c>
      <c r="C2127" s="250" t="s">
        <v>838</v>
      </c>
      <c r="D2127" s="250" t="s">
        <v>837</v>
      </c>
      <c r="K2127" s="250">
        <v>1</v>
      </c>
      <c r="L2127" s="250">
        <v>7500</v>
      </c>
    </row>
    <row r="2128" spans="2:12" ht="15" customHeight="1" x14ac:dyDescent="0.2">
      <c r="B2128" s="250" t="s">
        <v>3900</v>
      </c>
    </row>
    <row r="2129" spans="2:12" ht="15" customHeight="1" x14ac:dyDescent="0.2">
      <c r="B2129" s="250" t="s">
        <v>822</v>
      </c>
      <c r="C2129" s="250" t="s">
        <v>3242</v>
      </c>
      <c r="D2129" s="250" t="s">
        <v>823</v>
      </c>
      <c r="K2129" s="250">
        <v>1</v>
      </c>
      <c r="L2129" s="250">
        <v>9</v>
      </c>
    </row>
    <row r="2130" spans="2:12" ht="15" customHeight="1" x14ac:dyDescent="0.2">
      <c r="B2130" s="250" t="s">
        <v>824</v>
      </c>
      <c r="C2130" s="250" t="s">
        <v>3242</v>
      </c>
      <c r="D2130" s="250" t="s">
        <v>823</v>
      </c>
      <c r="K2130" s="250">
        <v>1</v>
      </c>
      <c r="L2130" s="250">
        <v>10</v>
      </c>
    </row>
    <row r="2131" spans="2:12" ht="15" customHeight="1" x14ac:dyDescent="0.2">
      <c r="B2131" s="250" t="s">
        <v>3941</v>
      </c>
      <c r="C2131" s="250" t="s">
        <v>3242</v>
      </c>
      <c r="D2131" s="250" t="s">
        <v>823</v>
      </c>
      <c r="K2131" s="250">
        <v>1</v>
      </c>
      <c r="L2131" s="250">
        <v>10</v>
      </c>
    </row>
    <row r="2132" spans="2:12" ht="15" customHeight="1" x14ac:dyDescent="0.2">
      <c r="B2132" s="250" t="s">
        <v>825</v>
      </c>
      <c r="C2132" s="250" t="s">
        <v>3242</v>
      </c>
      <c r="D2132" s="250" t="s">
        <v>823</v>
      </c>
      <c r="K2132" s="250">
        <v>1</v>
      </c>
      <c r="L2132" s="250">
        <v>12</v>
      </c>
    </row>
    <row r="2133" spans="2:12" ht="15" customHeight="1" x14ac:dyDescent="0.2">
      <c r="B2133" s="250" t="s">
        <v>826</v>
      </c>
      <c r="C2133" s="250" t="s">
        <v>3242</v>
      </c>
      <c r="D2133" s="250" t="s">
        <v>823</v>
      </c>
      <c r="K2133" s="250">
        <v>1</v>
      </c>
      <c r="L2133" s="250">
        <v>13</v>
      </c>
    </row>
    <row r="2134" spans="2:12" ht="15" customHeight="1" x14ac:dyDescent="0.2">
      <c r="B2134" s="250" t="s">
        <v>4225</v>
      </c>
      <c r="C2134" s="250" t="s">
        <v>3242</v>
      </c>
      <c r="D2134" s="250" t="s">
        <v>823</v>
      </c>
      <c r="K2134" s="250">
        <v>1</v>
      </c>
      <c r="L2134" s="250">
        <v>16</v>
      </c>
    </row>
    <row r="2135" spans="2:12" ht="15" customHeight="1" x14ac:dyDescent="0.2">
      <c r="B2135" s="250" t="s">
        <v>827</v>
      </c>
      <c r="C2135" s="250" t="s">
        <v>3242</v>
      </c>
      <c r="D2135" s="250" t="s">
        <v>823</v>
      </c>
      <c r="K2135" s="250">
        <v>1</v>
      </c>
      <c r="L2135" s="250">
        <v>15</v>
      </c>
    </row>
    <row r="2136" spans="2:12" ht="15" customHeight="1" x14ac:dyDescent="0.2">
      <c r="B2136" s="250" t="s">
        <v>828</v>
      </c>
      <c r="C2136" s="250" t="s">
        <v>3242</v>
      </c>
      <c r="D2136" s="250" t="s">
        <v>823</v>
      </c>
      <c r="K2136" s="250">
        <v>1</v>
      </c>
      <c r="L2136" s="250">
        <v>17</v>
      </c>
    </row>
    <row r="2137" spans="2:12" ht="15" customHeight="1" x14ac:dyDescent="0.2">
      <c r="B2137" s="250" t="s">
        <v>829</v>
      </c>
      <c r="C2137" s="250" t="s">
        <v>3242</v>
      </c>
      <c r="D2137" s="250" t="s">
        <v>823</v>
      </c>
      <c r="K2137" s="250">
        <v>1</v>
      </c>
      <c r="L2137" s="250">
        <v>19</v>
      </c>
    </row>
    <row r="2138" spans="2:12" ht="15" customHeight="1" x14ac:dyDescent="0.2">
      <c r="B2138" s="250" t="s">
        <v>830</v>
      </c>
      <c r="C2138" s="250" t="s">
        <v>3242</v>
      </c>
      <c r="D2138" s="250" t="s">
        <v>823</v>
      </c>
      <c r="K2138" s="250">
        <v>1</v>
      </c>
      <c r="L2138" s="250">
        <v>22</v>
      </c>
    </row>
    <row r="2139" spans="2:12" ht="15" customHeight="1" x14ac:dyDescent="0.2">
      <c r="B2139" s="250" t="s">
        <v>831</v>
      </c>
      <c r="C2139" s="250" t="s">
        <v>3242</v>
      </c>
      <c r="D2139" s="250" t="s">
        <v>823</v>
      </c>
      <c r="K2139" s="250">
        <v>1</v>
      </c>
      <c r="L2139" s="250">
        <v>25</v>
      </c>
    </row>
    <row r="2140" spans="2:12" ht="15" customHeight="1" x14ac:dyDescent="0.2">
      <c r="B2140" s="250" t="s">
        <v>832</v>
      </c>
      <c r="C2140" s="250" t="s">
        <v>3242</v>
      </c>
      <c r="D2140" s="250" t="s">
        <v>823</v>
      </c>
      <c r="K2140" s="250">
        <v>1</v>
      </c>
      <c r="L2140" s="250">
        <v>28</v>
      </c>
    </row>
    <row r="2141" spans="2:12" ht="15" customHeight="1" x14ac:dyDescent="0.2">
      <c r="B2141" s="250" t="s">
        <v>4226</v>
      </c>
      <c r="C2141" s="250" t="s">
        <v>4227</v>
      </c>
      <c r="D2141" s="250" t="s">
        <v>82</v>
      </c>
      <c r="K2141" s="250">
        <v>1</v>
      </c>
      <c r="L2141" s="250">
        <v>4800</v>
      </c>
    </row>
    <row r="2142" spans="2:12" ht="15" customHeight="1" x14ac:dyDescent="0.2">
      <c r="B2142" s="250" t="s">
        <v>4228</v>
      </c>
      <c r="C2142" s="250" t="s">
        <v>4227</v>
      </c>
      <c r="D2142" s="250" t="s">
        <v>82</v>
      </c>
      <c r="K2142" s="250">
        <v>1</v>
      </c>
      <c r="L2142" s="250">
        <v>4800</v>
      </c>
    </row>
    <row r="2143" spans="2:12" ht="15" customHeight="1" x14ac:dyDescent="0.2">
      <c r="B2143" s="250" t="s">
        <v>3942</v>
      </c>
      <c r="C2143" s="250" t="s">
        <v>4229</v>
      </c>
      <c r="D2143" s="250" t="s">
        <v>82</v>
      </c>
      <c r="K2143" s="250">
        <v>1</v>
      </c>
      <c r="L2143" s="250">
        <v>5400</v>
      </c>
    </row>
    <row r="2144" spans="2:12" ht="15" customHeight="1" x14ac:dyDescent="0.2">
      <c r="B2144" s="250" t="s">
        <v>4230</v>
      </c>
      <c r="C2144" s="250" t="s">
        <v>4227</v>
      </c>
      <c r="D2144" s="250" t="s">
        <v>82</v>
      </c>
      <c r="K2144" s="250">
        <v>1</v>
      </c>
      <c r="L2144" s="250">
        <v>5000</v>
      </c>
    </row>
    <row r="2145" spans="2:12" ht="15" customHeight="1" x14ac:dyDescent="0.2">
      <c r="B2145" s="250" t="s">
        <v>3943</v>
      </c>
      <c r="C2145" s="250" t="s">
        <v>4229</v>
      </c>
      <c r="D2145" s="250" t="s">
        <v>82</v>
      </c>
      <c r="K2145" s="250">
        <v>1</v>
      </c>
      <c r="L2145" s="250">
        <v>5000</v>
      </c>
    </row>
    <row r="2146" spans="2:12" ht="15" customHeight="1" x14ac:dyDescent="0.2">
      <c r="B2146" s="250" t="s">
        <v>4231</v>
      </c>
      <c r="C2146" s="250" t="s">
        <v>4227</v>
      </c>
      <c r="D2146" s="250" t="s">
        <v>82</v>
      </c>
      <c r="K2146" s="250">
        <v>1</v>
      </c>
      <c r="L2146" s="250">
        <v>5600</v>
      </c>
    </row>
    <row r="2147" spans="2:12" ht="15" customHeight="1" x14ac:dyDescent="0.2">
      <c r="B2147" s="250" t="s">
        <v>4232</v>
      </c>
      <c r="C2147" s="250" t="s">
        <v>4229</v>
      </c>
      <c r="D2147" s="250" t="s">
        <v>82</v>
      </c>
      <c r="K2147" s="250">
        <v>1</v>
      </c>
      <c r="L2147" s="250">
        <v>5400</v>
      </c>
    </row>
    <row r="2148" spans="2:12" ht="15" customHeight="1" x14ac:dyDescent="0.2">
      <c r="B2148" s="250" t="s">
        <v>4233</v>
      </c>
      <c r="C2148" s="250" t="s">
        <v>4229</v>
      </c>
      <c r="D2148" s="250" t="s">
        <v>82</v>
      </c>
      <c r="K2148" s="250">
        <v>1</v>
      </c>
      <c r="L2148" s="250">
        <v>5400</v>
      </c>
    </row>
    <row r="2149" spans="2:12" ht="15" customHeight="1" x14ac:dyDescent="0.2">
      <c r="B2149" s="250" t="s">
        <v>4234</v>
      </c>
      <c r="C2149" s="250" t="s">
        <v>4227</v>
      </c>
      <c r="D2149" s="250" t="s">
        <v>82</v>
      </c>
      <c r="K2149" s="250">
        <v>1</v>
      </c>
      <c r="L2149" s="250">
        <v>6000</v>
      </c>
    </row>
    <row r="2150" spans="2:12" ht="15" customHeight="1" x14ac:dyDescent="0.2">
      <c r="B2150" s="250" t="s">
        <v>3945</v>
      </c>
      <c r="C2150" s="250" t="s">
        <v>4235</v>
      </c>
      <c r="D2150" s="250" t="s">
        <v>82</v>
      </c>
      <c r="K2150" s="250">
        <v>1</v>
      </c>
      <c r="L2150" s="250">
        <v>5700</v>
      </c>
    </row>
    <row r="2151" spans="2:12" ht="15" customHeight="1" x14ac:dyDescent="0.2">
      <c r="B2151" s="250" t="s">
        <v>4236</v>
      </c>
      <c r="C2151" s="250" t="s">
        <v>4229</v>
      </c>
      <c r="D2151" s="250" t="s">
        <v>82</v>
      </c>
      <c r="K2151" s="250">
        <v>1</v>
      </c>
      <c r="L2151" s="250">
        <v>5700</v>
      </c>
    </row>
    <row r="2152" spans="2:12" ht="15" customHeight="1" x14ac:dyDescent="0.2">
      <c r="B2152" s="250" t="s">
        <v>4237</v>
      </c>
      <c r="C2152" s="250" t="s">
        <v>4235</v>
      </c>
      <c r="D2152" s="250" t="s">
        <v>82</v>
      </c>
      <c r="K2152" s="250">
        <v>1</v>
      </c>
      <c r="L2152" s="250">
        <v>6300</v>
      </c>
    </row>
    <row r="2153" spans="2:12" ht="15" customHeight="1" x14ac:dyDescent="0.2">
      <c r="B2153" s="250" t="s">
        <v>4238</v>
      </c>
      <c r="D2153" s="250" t="s">
        <v>82</v>
      </c>
      <c r="K2153" s="250">
        <v>1</v>
      </c>
      <c r="L2153" s="250">
        <v>9000</v>
      </c>
    </row>
    <row r="2154" spans="2:12" ht="15" customHeight="1" x14ac:dyDescent="0.2">
      <c r="B2154" s="250" t="s">
        <v>4239</v>
      </c>
      <c r="D2154" s="250" t="s">
        <v>82</v>
      </c>
      <c r="K2154" s="250">
        <v>1</v>
      </c>
      <c r="L2154" s="250">
        <v>15000</v>
      </c>
    </row>
    <row r="2155" spans="2:12" ht="15" customHeight="1" x14ac:dyDescent="0.2">
      <c r="B2155" s="250" t="s">
        <v>3285</v>
      </c>
      <c r="C2155" s="250" t="s">
        <v>4229</v>
      </c>
      <c r="D2155" s="250" t="s">
        <v>82</v>
      </c>
      <c r="K2155" s="250">
        <v>1</v>
      </c>
      <c r="L2155" s="250">
        <v>3900</v>
      </c>
    </row>
    <row r="2156" spans="2:12" ht="15" customHeight="1" x14ac:dyDescent="0.2">
      <c r="B2156" s="250" t="s">
        <v>3286</v>
      </c>
      <c r="C2156" s="250" t="s">
        <v>4229</v>
      </c>
      <c r="D2156" s="250" t="s">
        <v>82</v>
      </c>
      <c r="K2156" s="250">
        <v>1</v>
      </c>
      <c r="L2156" s="250">
        <v>3900</v>
      </c>
    </row>
    <row r="2157" spans="2:12" ht="15" customHeight="1" x14ac:dyDescent="0.2">
      <c r="B2157" s="250" t="s">
        <v>3287</v>
      </c>
      <c r="C2157" s="250" t="s">
        <v>4227</v>
      </c>
      <c r="D2157" s="250" t="s">
        <v>82</v>
      </c>
      <c r="K2157" s="250">
        <v>1</v>
      </c>
      <c r="L2157" s="250">
        <v>4500</v>
      </c>
    </row>
    <row r="2158" spans="2:12" ht="15" customHeight="1" x14ac:dyDescent="0.2">
      <c r="B2158" s="250" t="s">
        <v>3288</v>
      </c>
      <c r="C2158" s="250" t="s">
        <v>4235</v>
      </c>
      <c r="D2158" s="250" t="s">
        <v>82</v>
      </c>
      <c r="K2158" s="250">
        <v>1</v>
      </c>
      <c r="L2158" s="250">
        <v>4000</v>
      </c>
    </row>
    <row r="2159" spans="2:12" ht="15" customHeight="1" x14ac:dyDescent="0.2">
      <c r="B2159" s="250" t="s">
        <v>3289</v>
      </c>
      <c r="C2159" s="250" t="s">
        <v>4227</v>
      </c>
      <c r="D2159" s="250" t="s">
        <v>82</v>
      </c>
      <c r="K2159" s="250">
        <v>1</v>
      </c>
      <c r="L2159" s="250">
        <v>4000</v>
      </c>
    </row>
    <row r="2160" spans="2:12" ht="15" customHeight="1" x14ac:dyDescent="0.2">
      <c r="B2160" s="250" t="s">
        <v>3290</v>
      </c>
      <c r="C2160" s="250" t="s">
        <v>4227</v>
      </c>
      <c r="D2160" s="250" t="s">
        <v>82</v>
      </c>
      <c r="K2160" s="250">
        <v>1</v>
      </c>
      <c r="L2160" s="250">
        <v>4650</v>
      </c>
    </row>
    <row r="2161" spans="2:12" ht="15" customHeight="1" x14ac:dyDescent="0.2">
      <c r="B2161" s="250" t="s">
        <v>3844</v>
      </c>
      <c r="C2161" s="250" t="s">
        <v>4227</v>
      </c>
      <c r="D2161" s="250" t="s">
        <v>82</v>
      </c>
      <c r="K2161" s="250">
        <v>1</v>
      </c>
      <c r="L2161" s="250">
        <v>21000</v>
      </c>
    </row>
    <row r="2162" spans="2:12" ht="15" customHeight="1" x14ac:dyDescent="0.2">
      <c r="B2162" s="250" t="s">
        <v>3845</v>
      </c>
      <c r="C2162" s="250" t="s">
        <v>4235</v>
      </c>
      <c r="D2162" s="250" t="s">
        <v>82</v>
      </c>
      <c r="K2162" s="250">
        <v>1</v>
      </c>
      <c r="L2162" s="250">
        <v>21000</v>
      </c>
    </row>
    <row r="2163" spans="2:12" ht="15" customHeight="1" x14ac:dyDescent="0.2">
      <c r="B2163" s="250" t="s">
        <v>3846</v>
      </c>
      <c r="C2163" s="250" t="s">
        <v>4235</v>
      </c>
      <c r="D2163" s="250" t="s">
        <v>82</v>
      </c>
      <c r="K2163" s="250">
        <v>1</v>
      </c>
      <c r="L2163" s="250">
        <v>22000</v>
      </c>
    </row>
    <row r="2164" spans="2:12" ht="15" customHeight="1" x14ac:dyDescent="0.2">
      <c r="B2164" s="250" t="s">
        <v>3847</v>
      </c>
      <c r="C2164" s="250" t="s">
        <v>4235</v>
      </c>
      <c r="D2164" s="250" t="s">
        <v>82</v>
      </c>
      <c r="K2164" s="250">
        <v>1</v>
      </c>
      <c r="L2164" s="250">
        <v>21600</v>
      </c>
    </row>
    <row r="2165" spans="2:12" ht="15" customHeight="1" x14ac:dyDescent="0.2">
      <c r="B2165" s="250" t="s">
        <v>3848</v>
      </c>
      <c r="C2165" s="250" t="s">
        <v>4229</v>
      </c>
      <c r="D2165" s="250" t="s">
        <v>82</v>
      </c>
      <c r="K2165" s="250">
        <v>1</v>
      </c>
      <c r="L2165" s="250">
        <v>21600</v>
      </c>
    </row>
    <row r="2166" spans="2:12" ht="15" customHeight="1" x14ac:dyDescent="0.2">
      <c r="B2166" s="250" t="s">
        <v>3849</v>
      </c>
      <c r="C2166" s="250" t="s">
        <v>4235</v>
      </c>
      <c r="D2166" s="250" t="s">
        <v>82</v>
      </c>
      <c r="K2166" s="250">
        <v>1</v>
      </c>
      <c r="L2166" s="250">
        <v>22600</v>
      </c>
    </row>
    <row r="2167" spans="2:12" ht="15" customHeight="1" x14ac:dyDescent="0.2">
      <c r="B2167" s="250" t="s">
        <v>3850</v>
      </c>
      <c r="C2167" s="250" t="s">
        <v>4227</v>
      </c>
      <c r="D2167" s="250" t="s">
        <v>82</v>
      </c>
      <c r="K2167" s="250">
        <v>1</v>
      </c>
      <c r="L2167" s="250">
        <v>22800</v>
      </c>
    </row>
    <row r="2168" spans="2:12" ht="15" customHeight="1" x14ac:dyDescent="0.2">
      <c r="B2168" s="250" t="s">
        <v>3851</v>
      </c>
      <c r="C2168" s="250" t="s">
        <v>4227</v>
      </c>
      <c r="D2168" s="250" t="s">
        <v>82</v>
      </c>
      <c r="K2168" s="250">
        <v>1</v>
      </c>
      <c r="L2168" s="250">
        <v>22800</v>
      </c>
    </row>
    <row r="2169" spans="2:12" ht="15" customHeight="1" x14ac:dyDescent="0.2">
      <c r="B2169" s="250" t="s">
        <v>3852</v>
      </c>
      <c r="C2169" s="250" t="s">
        <v>4229</v>
      </c>
      <c r="D2169" s="250" t="s">
        <v>82</v>
      </c>
      <c r="K2169" s="250">
        <v>1</v>
      </c>
      <c r="L2169" s="250">
        <v>23800</v>
      </c>
    </row>
    <row r="2170" spans="2:12" ht="15" customHeight="1" x14ac:dyDescent="0.2">
      <c r="B2170" s="250" t="s">
        <v>3853</v>
      </c>
      <c r="C2170" s="250" t="s">
        <v>4235</v>
      </c>
      <c r="D2170" s="250" t="s">
        <v>82</v>
      </c>
      <c r="K2170" s="250">
        <v>1</v>
      </c>
      <c r="L2170" s="250">
        <v>23600</v>
      </c>
    </row>
    <row r="2171" spans="2:12" ht="15" customHeight="1" x14ac:dyDescent="0.2">
      <c r="B2171" s="250" t="s">
        <v>3854</v>
      </c>
      <c r="C2171" s="250" t="s">
        <v>4235</v>
      </c>
      <c r="D2171" s="250" t="s">
        <v>82</v>
      </c>
      <c r="K2171" s="250">
        <v>1</v>
      </c>
      <c r="L2171" s="250">
        <v>23600</v>
      </c>
    </row>
    <row r="2172" spans="2:12" ht="15" customHeight="1" x14ac:dyDescent="0.2">
      <c r="B2172" s="250" t="s">
        <v>3855</v>
      </c>
      <c r="C2172" s="250" t="s">
        <v>4235</v>
      </c>
      <c r="D2172" s="250" t="s">
        <v>82</v>
      </c>
      <c r="K2172" s="250">
        <v>1</v>
      </c>
      <c r="L2172" s="250">
        <v>24600</v>
      </c>
    </row>
    <row r="2173" spans="2:12" ht="15" customHeight="1" x14ac:dyDescent="0.2">
      <c r="B2173" s="249" t="s">
        <v>3856</v>
      </c>
      <c r="C2173" s="250" t="s">
        <v>4229</v>
      </c>
      <c r="D2173" s="250" t="s">
        <v>82</v>
      </c>
      <c r="K2173" s="250">
        <v>1</v>
      </c>
      <c r="L2173" s="250">
        <v>6900</v>
      </c>
    </row>
    <row r="2174" spans="2:12" ht="15" customHeight="1" x14ac:dyDescent="0.2">
      <c r="B2174" s="249" t="s">
        <v>3857</v>
      </c>
      <c r="C2174" s="250" t="s">
        <v>4229</v>
      </c>
      <c r="D2174" s="250" t="s">
        <v>82</v>
      </c>
      <c r="K2174" s="250">
        <v>1</v>
      </c>
      <c r="L2174" s="250">
        <v>6900</v>
      </c>
    </row>
    <row r="2175" spans="2:12" ht="15" customHeight="1" x14ac:dyDescent="0.2">
      <c r="B2175" s="249" t="s">
        <v>3858</v>
      </c>
      <c r="C2175" s="250" t="s">
        <v>4227</v>
      </c>
      <c r="D2175" s="250" t="s">
        <v>82</v>
      </c>
      <c r="K2175" s="250">
        <v>1</v>
      </c>
      <c r="L2175" s="250">
        <v>7100</v>
      </c>
    </row>
    <row r="2176" spans="2:12" ht="15" customHeight="1" x14ac:dyDescent="0.2">
      <c r="B2176" s="250" t="s">
        <v>3859</v>
      </c>
      <c r="C2176" s="250" t="s">
        <v>4235</v>
      </c>
      <c r="D2176" s="250" t="s">
        <v>82</v>
      </c>
      <c r="K2176" s="250">
        <v>1</v>
      </c>
      <c r="L2176" s="250">
        <v>7500</v>
      </c>
    </row>
    <row r="2177" spans="2:12" ht="15" customHeight="1" x14ac:dyDescent="0.2">
      <c r="B2177" s="250" t="s">
        <v>3860</v>
      </c>
      <c r="C2177" s="250" t="s">
        <v>4227</v>
      </c>
      <c r="D2177" s="250" t="s">
        <v>82</v>
      </c>
      <c r="K2177" s="250">
        <v>1</v>
      </c>
      <c r="L2177" s="250">
        <v>7500</v>
      </c>
    </row>
    <row r="2178" spans="2:12" ht="15" customHeight="1" x14ac:dyDescent="0.2">
      <c r="B2178" s="250" t="s">
        <v>3861</v>
      </c>
      <c r="C2178" s="250" t="s">
        <v>4229</v>
      </c>
      <c r="D2178" s="250" t="s">
        <v>82</v>
      </c>
      <c r="K2178" s="250">
        <v>1</v>
      </c>
      <c r="L2178" s="250">
        <v>7700</v>
      </c>
    </row>
    <row r="2179" spans="2:12" ht="15" customHeight="1" x14ac:dyDescent="0.2">
      <c r="B2179" s="250" t="s">
        <v>3862</v>
      </c>
      <c r="D2179" s="250" t="s">
        <v>82</v>
      </c>
      <c r="K2179" s="250">
        <v>1</v>
      </c>
      <c r="L2179" s="250">
        <v>11000</v>
      </c>
    </row>
    <row r="2180" spans="2:12" ht="15" customHeight="1" x14ac:dyDescent="0.2">
      <c r="B2180" s="249" t="s">
        <v>3863</v>
      </c>
      <c r="D2180" s="250" t="s">
        <v>82</v>
      </c>
      <c r="K2180" s="250">
        <v>1</v>
      </c>
      <c r="L2180" s="250">
        <v>22500</v>
      </c>
    </row>
    <row r="2181" spans="2:12" ht="15" customHeight="1" x14ac:dyDescent="0.2">
      <c r="B2181" s="249" t="s">
        <v>3864</v>
      </c>
      <c r="D2181" s="250" t="s">
        <v>82</v>
      </c>
      <c r="K2181" s="250">
        <v>1</v>
      </c>
      <c r="L2181" s="250">
        <v>23500</v>
      </c>
    </row>
    <row r="2182" spans="2:12" ht="15" customHeight="1" x14ac:dyDescent="0.2">
      <c r="B2182" s="249" t="s">
        <v>3865</v>
      </c>
      <c r="D2182" s="250" t="s">
        <v>82</v>
      </c>
      <c r="K2182" s="250">
        <v>1</v>
      </c>
      <c r="L2182" s="250">
        <v>25000</v>
      </c>
    </row>
    <row r="2183" spans="2:12" ht="15" customHeight="1" x14ac:dyDescent="0.2">
      <c r="B2183" s="249" t="s">
        <v>3866</v>
      </c>
      <c r="D2183" s="250" t="s">
        <v>82</v>
      </c>
      <c r="K2183" s="250">
        <v>1</v>
      </c>
      <c r="L2183" s="250">
        <v>26000</v>
      </c>
    </row>
    <row r="2184" spans="2:12" ht="15" customHeight="1" x14ac:dyDescent="0.2">
      <c r="B2184" s="249" t="s">
        <v>3867</v>
      </c>
      <c r="D2184" s="250" t="s">
        <v>82</v>
      </c>
      <c r="K2184" s="250">
        <v>1</v>
      </c>
      <c r="L2184" s="250">
        <v>35000</v>
      </c>
    </row>
    <row r="2185" spans="2:12" ht="15" customHeight="1" x14ac:dyDescent="0.2">
      <c r="B2185" s="249" t="s">
        <v>3868</v>
      </c>
      <c r="D2185" s="250" t="s">
        <v>82</v>
      </c>
      <c r="K2185" s="250">
        <v>1</v>
      </c>
      <c r="L2185" s="250">
        <v>7000</v>
      </c>
    </row>
    <row r="2186" spans="2:12" ht="15" customHeight="1" x14ac:dyDescent="0.2">
      <c r="B2186" s="249" t="s">
        <v>3869</v>
      </c>
      <c r="D2186" s="250" t="s">
        <v>82</v>
      </c>
      <c r="K2186" s="250">
        <v>1</v>
      </c>
      <c r="L2186" s="250">
        <v>7100</v>
      </c>
    </row>
    <row r="2187" spans="2:12" ht="15" customHeight="1" x14ac:dyDescent="0.2">
      <c r="B2187" s="249" t="s">
        <v>3870</v>
      </c>
      <c r="D2187" s="250" t="s">
        <v>82</v>
      </c>
      <c r="K2187" s="250">
        <v>1</v>
      </c>
      <c r="L2187" s="250">
        <v>7500</v>
      </c>
    </row>
    <row r="2188" spans="2:12" ht="15" customHeight="1" x14ac:dyDescent="0.2">
      <c r="B2188" s="250" t="s">
        <v>3871</v>
      </c>
      <c r="D2188" s="250" t="s">
        <v>82</v>
      </c>
      <c r="K2188" s="250">
        <v>1</v>
      </c>
      <c r="L2188" s="250">
        <v>7100</v>
      </c>
    </row>
    <row r="2189" spans="2:12" ht="15" customHeight="1" x14ac:dyDescent="0.2">
      <c r="B2189" s="250" t="s">
        <v>3872</v>
      </c>
      <c r="D2189" s="250" t="s">
        <v>82</v>
      </c>
      <c r="K2189" s="250">
        <v>1</v>
      </c>
      <c r="L2189" s="250">
        <v>7200</v>
      </c>
    </row>
    <row r="2190" spans="2:12" ht="15" customHeight="1" x14ac:dyDescent="0.2">
      <c r="B2190" s="250" t="s">
        <v>3873</v>
      </c>
      <c r="D2190" s="250" t="s">
        <v>82</v>
      </c>
      <c r="K2190" s="250">
        <v>1</v>
      </c>
      <c r="L2190" s="250">
        <v>7800</v>
      </c>
    </row>
    <row r="2191" spans="2:12" ht="15" customHeight="1" x14ac:dyDescent="0.2">
      <c r="B2191" s="250" t="s">
        <v>3874</v>
      </c>
      <c r="D2191" s="250" t="s">
        <v>82</v>
      </c>
      <c r="K2191" s="250">
        <v>1</v>
      </c>
      <c r="L2191" s="250">
        <v>9400</v>
      </c>
    </row>
    <row r="2192" spans="2:12" ht="15" customHeight="1" x14ac:dyDescent="0.2">
      <c r="B2192" s="250" t="s">
        <v>4240</v>
      </c>
      <c r="C2192" s="250" t="s">
        <v>4235</v>
      </c>
      <c r="D2192" s="250" t="s">
        <v>842</v>
      </c>
      <c r="K2192" s="250">
        <v>1</v>
      </c>
      <c r="L2192" s="250">
        <v>2350</v>
      </c>
    </row>
    <row r="2193" spans="2:12" ht="15" customHeight="1" x14ac:dyDescent="0.2">
      <c r="B2193" s="250" t="s">
        <v>4241</v>
      </c>
      <c r="C2193" s="250" t="s">
        <v>4229</v>
      </c>
      <c r="D2193" s="250" t="s">
        <v>842</v>
      </c>
      <c r="K2193" s="250">
        <v>1</v>
      </c>
      <c r="L2193" s="250">
        <v>2450</v>
      </c>
    </row>
    <row r="2194" spans="2:12" ht="15" customHeight="1" x14ac:dyDescent="0.2">
      <c r="B2194" s="250" t="s">
        <v>4242</v>
      </c>
      <c r="C2194" s="250" t="s">
        <v>4229</v>
      </c>
      <c r="D2194" s="250" t="s">
        <v>842</v>
      </c>
      <c r="K2194" s="250">
        <v>1</v>
      </c>
      <c r="L2194" s="250">
        <v>2900</v>
      </c>
    </row>
    <row r="2195" spans="2:12" ht="15" customHeight="1" x14ac:dyDescent="0.2">
      <c r="B2195" s="250" t="s">
        <v>3946</v>
      </c>
      <c r="C2195" s="250" t="s">
        <v>4235</v>
      </c>
      <c r="D2195" s="250" t="s">
        <v>842</v>
      </c>
      <c r="K2195" s="250">
        <v>1</v>
      </c>
      <c r="L2195" s="250">
        <v>3000</v>
      </c>
    </row>
    <row r="2196" spans="2:12" ht="15" customHeight="1" x14ac:dyDescent="0.2">
      <c r="B2196" s="250" t="s">
        <v>4243</v>
      </c>
      <c r="D2196" s="250" t="s">
        <v>842</v>
      </c>
      <c r="K2196" s="250">
        <v>1</v>
      </c>
      <c r="L2196" s="250">
        <v>4300</v>
      </c>
    </row>
    <row r="2197" spans="2:12" ht="15" customHeight="1" x14ac:dyDescent="0.2">
      <c r="B2197" s="250" t="s">
        <v>4244</v>
      </c>
      <c r="D2197" s="250" t="s">
        <v>842</v>
      </c>
      <c r="K2197" s="250">
        <v>1</v>
      </c>
      <c r="L2197" s="250">
        <v>6900</v>
      </c>
    </row>
    <row r="2198" spans="2:12" ht="15" customHeight="1" x14ac:dyDescent="0.2">
      <c r="B2198" s="250" t="s">
        <v>4245</v>
      </c>
      <c r="D2198" s="250" t="s">
        <v>842</v>
      </c>
      <c r="K2198" s="250">
        <v>1</v>
      </c>
      <c r="L2198" s="250">
        <v>7800</v>
      </c>
    </row>
    <row r="2199" spans="2:12" ht="15" customHeight="1" x14ac:dyDescent="0.2">
      <c r="B2199" s="250" t="s">
        <v>4246</v>
      </c>
      <c r="D2199" s="250" t="s">
        <v>842</v>
      </c>
      <c r="K2199" s="250">
        <v>1</v>
      </c>
      <c r="L2199" s="250">
        <v>9800</v>
      </c>
    </row>
    <row r="2200" spans="2:12" ht="15" customHeight="1" x14ac:dyDescent="0.2">
      <c r="B2200" s="250" t="s">
        <v>4247</v>
      </c>
      <c r="D2200" s="250" t="s">
        <v>842</v>
      </c>
      <c r="K2200" s="250">
        <v>1</v>
      </c>
      <c r="L2200" s="250">
        <v>10000</v>
      </c>
    </row>
    <row r="2201" spans="2:12" ht="15" customHeight="1" x14ac:dyDescent="0.2">
      <c r="B2201" s="250" t="s">
        <v>3947</v>
      </c>
      <c r="C2201" s="250" t="s">
        <v>4227</v>
      </c>
      <c r="D2201" s="250" t="s">
        <v>4248</v>
      </c>
      <c r="K2201" s="250">
        <v>1</v>
      </c>
      <c r="L2201" s="250">
        <v>1300</v>
      </c>
    </row>
    <row r="2202" spans="2:12" ht="15" customHeight="1" x14ac:dyDescent="0.2">
      <c r="B2202" s="250" t="s">
        <v>4249</v>
      </c>
      <c r="C2202" s="250" t="s">
        <v>4229</v>
      </c>
      <c r="D2202" s="250" t="s">
        <v>4250</v>
      </c>
      <c r="K2202" s="250">
        <v>1</v>
      </c>
      <c r="L2202" s="250">
        <v>1500</v>
      </c>
    </row>
    <row r="2203" spans="2:12" ht="15" customHeight="1" x14ac:dyDescent="0.2">
      <c r="B2203" s="250" t="s">
        <v>3948</v>
      </c>
      <c r="C2203" s="250" t="s">
        <v>4227</v>
      </c>
      <c r="D2203" s="250" t="s">
        <v>4251</v>
      </c>
      <c r="K2203" s="250">
        <v>1</v>
      </c>
      <c r="L2203" s="250">
        <v>1350</v>
      </c>
    </row>
    <row r="2204" spans="2:12" ht="15" customHeight="1" x14ac:dyDescent="0.2">
      <c r="B2204" s="250" t="s">
        <v>3949</v>
      </c>
      <c r="C2204" s="250" t="s">
        <v>4227</v>
      </c>
      <c r="D2204" s="250" t="s">
        <v>4252</v>
      </c>
      <c r="K2204" s="250">
        <v>1</v>
      </c>
      <c r="L2204" s="250">
        <v>1550</v>
      </c>
    </row>
    <row r="2205" spans="2:12" ht="15" customHeight="1" x14ac:dyDescent="0.2">
      <c r="B2205" s="250" t="s">
        <v>3950</v>
      </c>
      <c r="C2205" s="250" t="s">
        <v>4227</v>
      </c>
      <c r="D2205" s="250" t="s">
        <v>4248</v>
      </c>
      <c r="K2205" s="250">
        <v>1</v>
      </c>
      <c r="L2205" s="250">
        <v>1850</v>
      </c>
    </row>
    <row r="2206" spans="2:12" ht="15" customHeight="1" x14ac:dyDescent="0.2">
      <c r="B2206" s="250" t="s">
        <v>4253</v>
      </c>
      <c r="C2206" s="250" t="s">
        <v>4227</v>
      </c>
      <c r="D2206" s="250" t="s">
        <v>4254</v>
      </c>
      <c r="K2206" s="250">
        <v>1</v>
      </c>
      <c r="L2206" s="250">
        <v>2050</v>
      </c>
    </row>
    <row r="2207" spans="2:12" ht="15" customHeight="1" x14ac:dyDescent="0.2">
      <c r="B2207" s="250" t="s">
        <v>4255</v>
      </c>
      <c r="C2207" s="250" t="s">
        <v>4229</v>
      </c>
      <c r="D2207" s="250" t="s">
        <v>4251</v>
      </c>
      <c r="K2207" s="250">
        <v>1</v>
      </c>
      <c r="L2207" s="250">
        <v>1900</v>
      </c>
    </row>
    <row r="2208" spans="2:12" ht="15" customHeight="1" x14ac:dyDescent="0.2">
      <c r="B2208" s="250" t="s">
        <v>4256</v>
      </c>
      <c r="C2208" s="250" t="s">
        <v>4235</v>
      </c>
      <c r="D2208" s="250" t="s">
        <v>4251</v>
      </c>
      <c r="K2208" s="250">
        <v>1</v>
      </c>
      <c r="L2208" s="250">
        <v>2100</v>
      </c>
    </row>
    <row r="2209" spans="2:12" ht="15" customHeight="1" x14ac:dyDescent="0.2">
      <c r="B2209" s="250" t="s">
        <v>4257</v>
      </c>
      <c r="C2209" s="250" t="s">
        <v>4227</v>
      </c>
      <c r="D2209" s="250" t="s">
        <v>843</v>
      </c>
      <c r="K2209" s="250">
        <v>1</v>
      </c>
      <c r="L2209" s="250">
        <v>2400</v>
      </c>
    </row>
    <row r="2210" spans="2:12" ht="15" customHeight="1" x14ac:dyDescent="0.2">
      <c r="B2210" s="250" t="s">
        <v>3951</v>
      </c>
      <c r="C2210" s="250" t="s">
        <v>4235</v>
      </c>
      <c r="D2210" s="250" t="s">
        <v>843</v>
      </c>
      <c r="K2210" s="250">
        <v>1</v>
      </c>
      <c r="L2210" s="250">
        <v>2600</v>
      </c>
    </row>
    <row r="2211" spans="2:12" ht="15" customHeight="1" x14ac:dyDescent="0.2">
      <c r="B2211" s="250" t="s">
        <v>4051</v>
      </c>
      <c r="C2211" s="250" t="s">
        <v>4235</v>
      </c>
      <c r="D2211" s="250" t="s">
        <v>843</v>
      </c>
      <c r="K2211" s="250">
        <v>1</v>
      </c>
      <c r="L2211" s="250">
        <v>2500</v>
      </c>
    </row>
    <row r="2212" spans="2:12" ht="15" customHeight="1" x14ac:dyDescent="0.2">
      <c r="B2212" s="250" t="s">
        <v>4258</v>
      </c>
      <c r="C2212" s="250" t="s">
        <v>4229</v>
      </c>
      <c r="D2212" s="250" t="s">
        <v>843</v>
      </c>
      <c r="K2212" s="250">
        <v>1</v>
      </c>
      <c r="L2212" s="250">
        <v>2700</v>
      </c>
    </row>
    <row r="2213" spans="2:12" ht="15" customHeight="1" x14ac:dyDescent="0.2">
      <c r="B2213" s="250" t="s">
        <v>4259</v>
      </c>
      <c r="C2213" s="250" t="s">
        <v>4235</v>
      </c>
      <c r="D2213" s="250" t="s">
        <v>843</v>
      </c>
      <c r="K2213" s="250">
        <v>1</v>
      </c>
      <c r="L2213" s="250">
        <v>2950</v>
      </c>
    </row>
    <row r="2214" spans="2:12" ht="15" customHeight="1" x14ac:dyDescent="0.2">
      <c r="B2214" s="250" t="s">
        <v>3952</v>
      </c>
      <c r="C2214" s="250" t="s">
        <v>4235</v>
      </c>
      <c r="D2214" s="250" t="s">
        <v>843</v>
      </c>
      <c r="K2214" s="250">
        <v>1</v>
      </c>
      <c r="L2214" s="250">
        <v>3150</v>
      </c>
    </row>
    <row r="2215" spans="2:12" ht="15" customHeight="1" x14ac:dyDescent="0.2">
      <c r="B2215" s="250" t="s">
        <v>4260</v>
      </c>
      <c r="C2215" s="250" t="s">
        <v>4235</v>
      </c>
      <c r="D2215" s="250" t="s">
        <v>843</v>
      </c>
      <c r="K2215" s="250">
        <v>1</v>
      </c>
      <c r="L2215" s="250">
        <v>3300</v>
      </c>
    </row>
    <row r="2216" spans="2:12" ht="15" customHeight="1" x14ac:dyDescent="0.2">
      <c r="B2216" s="250" t="s">
        <v>3953</v>
      </c>
      <c r="C2216" s="250" t="s">
        <v>4227</v>
      </c>
      <c r="D2216" s="250" t="s">
        <v>843</v>
      </c>
      <c r="K2216" s="250">
        <v>1</v>
      </c>
      <c r="L2216" s="250">
        <v>3500</v>
      </c>
    </row>
    <row r="2217" spans="2:12" ht="15" customHeight="1" x14ac:dyDescent="0.2">
      <c r="B2217" s="250" t="s">
        <v>4261</v>
      </c>
      <c r="C2217" s="250" t="s">
        <v>4229</v>
      </c>
      <c r="D2217" s="250" t="s">
        <v>113</v>
      </c>
      <c r="K2217" s="250">
        <v>1</v>
      </c>
      <c r="L2217" s="250">
        <v>1750</v>
      </c>
    </row>
    <row r="2218" spans="2:12" ht="15" customHeight="1" x14ac:dyDescent="0.2">
      <c r="B2218" s="250" t="s">
        <v>4262</v>
      </c>
      <c r="C2218" s="250" t="s">
        <v>4227</v>
      </c>
      <c r="D2218" s="250" t="s">
        <v>113</v>
      </c>
      <c r="K2218" s="250">
        <v>1</v>
      </c>
      <c r="L2218" s="250">
        <v>1950</v>
      </c>
    </row>
    <row r="2219" spans="2:12" ht="15" customHeight="1" x14ac:dyDescent="0.2">
      <c r="B2219" s="250" t="s">
        <v>4263</v>
      </c>
      <c r="C2219" s="250" t="s">
        <v>4227</v>
      </c>
      <c r="D2219" s="250" t="s">
        <v>113</v>
      </c>
      <c r="K2219" s="250">
        <v>1</v>
      </c>
      <c r="L2219" s="250">
        <v>2600</v>
      </c>
    </row>
    <row r="2220" spans="2:12" ht="15" customHeight="1" x14ac:dyDescent="0.2">
      <c r="B2220" s="250" t="s">
        <v>4264</v>
      </c>
      <c r="C2220" s="250" t="s">
        <v>4227</v>
      </c>
      <c r="D2220" s="250" t="s">
        <v>113</v>
      </c>
      <c r="K2220" s="250">
        <v>1</v>
      </c>
      <c r="L2220" s="250">
        <v>2800</v>
      </c>
    </row>
    <row r="2221" spans="2:12" ht="15" customHeight="1" x14ac:dyDescent="0.2">
      <c r="B2221" s="250" t="s">
        <v>844</v>
      </c>
      <c r="D2221" s="250" t="s">
        <v>113</v>
      </c>
      <c r="K2221" s="250">
        <v>1</v>
      </c>
      <c r="L2221" s="250">
        <v>2700</v>
      </c>
    </row>
    <row r="2222" spans="2:12" ht="15" customHeight="1" x14ac:dyDescent="0.2">
      <c r="B2222" s="250" t="s">
        <v>845</v>
      </c>
      <c r="D2222" s="250" t="s">
        <v>113</v>
      </c>
      <c r="K2222" s="250">
        <v>1</v>
      </c>
      <c r="L2222" s="250">
        <v>2900</v>
      </c>
    </row>
    <row r="2223" spans="2:12" ht="15" customHeight="1" x14ac:dyDescent="0.2">
      <c r="B2223" s="250" t="s">
        <v>846</v>
      </c>
      <c r="D2223" s="250" t="s">
        <v>847</v>
      </c>
      <c r="K2223" s="250">
        <v>1</v>
      </c>
      <c r="L2223" s="250">
        <v>1600</v>
      </c>
    </row>
    <row r="2224" spans="2:12" ht="15" customHeight="1" x14ac:dyDescent="0.2">
      <c r="B2224" s="250" t="s">
        <v>848</v>
      </c>
      <c r="D2224" s="250" t="s">
        <v>847</v>
      </c>
      <c r="K2224" s="250">
        <v>1</v>
      </c>
      <c r="L2224" s="250">
        <v>1800</v>
      </c>
    </row>
    <row r="2225" spans="2:12" ht="15" customHeight="1" x14ac:dyDescent="0.2">
      <c r="B2225" s="250" t="s">
        <v>849</v>
      </c>
      <c r="D2225" s="250" t="s">
        <v>850</v>
      </c>
      <c r="K2225" s="250">
        <v>1</v>
      </c>
      <c r="L2225" s="250">
        <v>1900</v>
      </c>
    </row>
    <row r="2226" spans="2:12" ht="15" customHeight="1" x14ac:dyDescent="0.2">
      <c r="B2226" s="250" t="s">
        <v>851</v>
      </c>
      <c r="D2226" s="250" t="s">
        <v>850</v>
      </c>
      <c r="K2226" s="250">
        <v>1</v>
      </c>
      <c r="L2226" s="250">
        <v>2100</v>
      </c>
    </row>
    <row r="2227" spans="2:12" ht="15" customHeight="1" x14ac:dyDescent="0.2">
      <c r="B2227" s="250" t="s">
        <v>852</v>
      </c>
      <c r="D2227" s="250" t="s">
        <v>850</v>
      </c>
      <c r="K2227" s="250">
        <v>1</v>
      </c>
      <c r="L2227" s="250">
        <v>4000</v>
      </c>
    </row>
    <row r="2228" spans="2:12" ht="15" customHeight="1" x14ac:dyDescent="0.2">
      <c r="B2228" s="250" t="s">
        <v>853</v>
      </c>
      <c r="D2228" s="250" t="s">
        <v>850</v>
      </c>
      <c r="K2228" s="250">
        <v>1</v>
      </c>
      <c r="L2228" s="250">
        <v>4500</v>
      </c>
    </row>
    <row r="2229" spans="2:12" ht="15" customHeight="1" x14ac:dyDescent="0.2">
      <c r="B2229" s="250" t="s">
        <v>854</v>
      </c>
      <c r="D2229" s="250" t="s">
        <v>850</v>
      </c>
      <c r="K2229" s="250">
        <v>1</v>
      </c>
      <c r="L2229" s="250">
        <v>4250</v>
      </c>
    </row>
    <row r="2230" spans="2:12" ht="15" customHeight="1" x14ac:dyDescent="0.2">
      <c r="B2230" s="250" t="s">
        <v>855</v>
      </c>
      <c r="D2230" s="250" t="s">
        <v>850</v>
      </c>
      <c r="K2230" s="250">
        <v>1</v>
      </c>
      <c r="L2230" s="250">
        <v>5000</v>
      </c>
    </row>
    <row r="2231" spans="2:12" ht="15" customHeight="1" x14ac:dyDescent="0.2">
      <c r="B2231" s="250" t="s">
        <v>4131</v>
      </c>
    </row>
    <row r="2232" spans="2:12" ht="15" customHeight="1" x14ac:dyDescent="0.2">
      <c r="B2232" s="250" t="s">
        <v>2166</v>
      </c>
      <c r="C2232" s="250" t="s">
        <v>857</v>
      </c>
      <c r="D2232" s="250" t="s">
        <v>856</v>
      </c>
      <c r="K2232" s="250">
        <v>1</v>
      </c>
      <c r="L2232" s="250">
        <v>6300</v>
      </c>
    </row>
    <row r="2233" spans="2:12" ht="15" customHeight="1" x14ac:dyDescent="0.2">
      <c r="B2233" s="250" t="s">
        <v>2167</v>
      </c>
      <c r="C2233" s="250" t="s">
        <v>857</v>
      </c>
      <c r="D2233" s="250" t="s">
        <v>856</v>
      </c>
      <c r="K2233" s="250">
        <v>1</v>
      </c>
      <c r="L2233" s="250">
        <v>6300</v>
      </c>
    </row>
    <row r="2234" spans="2:12" ht="15" customHeight="1" x14ac:dyDescent="0.2">
      <c r="B2234" s="250" t="s">
        <v>4265</v>
      </c>
      <c r="C2234" s="250" t="s">
        <v>857</v>
      </c>
      <c r="D2234" s="250" t="s">
        <v>856</v>
      </c>
      <c r="K2234" s="250">
        <v>1</v>
      </c>
      <c r="L2234" s="250">
        <v>6300</v>
      </c>
    </row>
    <row r="2235" spans="2:12" ht="15" customHeight="1" x14ac:dyDescent="0.2">
      <c r="B2235" s="250" t="s">
        <v>2168</v>
      </c>
      <c r="C2235" s="250" t="s">
        <v>857</v>
      </c>
      <c r="D2235" s="250" t="s">
        <v>856</v>
      </c>
      <c r="K2235" s="250">
        <v>1</v>
      </c>
      <c r="L2235" s="250">
        <v>6500</v>
      </c>
    </row>
    <row r="2236" spans="2:12" ht="15" customHeight="1" x14ac:dyDescent="0.2">
      <c r="B2236" s="250" t="s">
        <v>2169</v>
      </c>
      <c r="C2236" s="250" t="s">
        <v>857</v>
      </c>
      <c r="D2236" s="250" t="s">
        <v>856</v>
      </c>
      <c r="K2236" s="250">
        <v>1</v>
      </c>
      <c r="L2236" s="250">
        <v>6500</v>
      </c>
    </row>
    <row r="2237" spans="2:12" ht="15" customHeight="1" x14ac:dyDescent="0.2">
      <c r="B2237" s="250" t="s">
        <v>4266</v>
      </c>
      <c r="C2237" s="250" t="s">
        <v>857</v>
      </c>
      <c r="D2237" s="250" t="s">
        <v>856</v>
      </c>
      <c r="K2237" s="250">
        <v>1</v>
      </c>
      <c r="L2237" s="250">
        <v>6500</v>
      </c>
    </row>
    <row r="2238" spans="2:12" ht="15" customHeight="1" x14ac:dyDescent="0.2">
      <c r="B2238" s="250" t="s">
        <v>4267</v>
      </c>
      <c r="C2238" s="250" t="s">
        <v>4227</v>
      </c>
      <c r="D2238" s="250" t="s">
        <v>856</v>
      </c>
      <c r="K2238" s="250">
        <v>1</v>
      </c>
      <c r="L2238" s="250">
        <v>4350</v>
      </c>
    </row>
    <row r="2239" spans="2:12" ht="15" customHeight="1" x14ac:dyDescent="0.2">
      <c r="B2239" s="250" t="s">
        <v>4268</v>
      </c>
      <c r="C2239" s="250" t="s">
        <v>4235</v>
      </c>
      <c r="D2239" s="250" t="s">
        <v>856</v>
      </c>
      <c r="K2239" s="250">
        <v>1</v>
      </c>
      <c r="L2239" s="250">
        <v>4350</v>
      </c>
    </row>
    <row r="2240" spans="2:12" ht="15" customHeight="1" x14ac:dyDescent="0.2">
      <c r="B2240" s="250" t="s">
        <v>4269</v>
      </c>
      <c r="C2240" s="250" t="s">
        <v>4235</v>
      </c>
      <c r="D2240" s="250" t="s">
        <v>856</v>
      </c>
      <c r="K2240" s="250">
        <v>1</v>
      </c>
      <c r="L2240" s="250">
        <v>4350</v>
      </c>
    </row>
    <row r="2241" spans="2:12" ht="15" customHeight="1" x14ac:dyDescent="0.2">
      <c r="B2241" s="250" t="s">
        <v>858</v>
      </c>
      <c r="C2241" s="250" t="s">
        <v>4229</v>
      </c>
      <c r="D2241" s="250" t="s">
        <v>856</v>
      </c>
      <c r="K2241" s="250">
        <v>1</v>
      </c>
      <c r="L2241" s="250">
        <v>4650</v>
      </c>
    </row>
    <row r="2242" spans="2:12" ht="15" customHeight="1" x14ac:dyDescent="0.2">
      <c r="B2242" s="250" t="s">
        <v>4270</v>
      </c>
      <c r="C2242" s="250" t="s">
        <v>4227</v>
      </c>
      <c r="D2242" s="250" t="s">
        <v>856</v>
      </c>
      <c r="K2242" s="250">
        <v>1</v>
      </c>
      <c r="L2242" s="250">
        <v>4650</v>
      </c>
    </row>
    <row r="2243" spans="2:12" ht="15" customHeight="1" x14ac:dyDescent="0.2">
      <c r="B2243" s="250" t="s">
        <v>3954</v>
      </c>
      <c r="C2243" s="250" t="s">
        <v>4227</v>
      </c>
      <c r="D2243" s="250" t="s">
        <v>856</v>
      </c>
      <c r="K2243" s="250">
        <v>1</v>
      </c>
      <c r="L2243" s="250">
        <v>4650</v>
      </c>
    </row>
    <row r="2244" spans="2:12" ht="15" customHeight="1" x14ac:dyDescent="0.2">
      <c r="B2244" s="250" t="s">
        <v>859</v>
      </c>
      <c r="C2244" s="250" t="s">
        <v>4227</v>
      </c>
      <c r="D2244" s="250" t="s">
        <v>171</v>
      </c>
      <c r="K2244" s="250">
        <v>1</v>
      </c>
      <c r="L2244" s="250">
        <v>2250</v>
      </c>
    </row>
    <row r="2245" spans="2:12" ht="15" customHeight="1" x14ac:dyDescent="0.2">
      <c r="B2245" s="250" t="s">
        <v>4271</v>
      </c>
      <c r="C2245" s="250" t="s">
        <v>4235</v>
      </c>
      <c r="D2245" s="250" t="s">
        <v>171</v>
      </c>
      <c r="K2245" s="250">
        <v>1</v>
      </c>
      <c r="L2245" s="250">
        <v>2250</v>
      </c>
    </row>
    <row r="2246" spans="2:12" ht="15" customHeight="1" x14ac:dyDescent="0.2">
      <c r="B2246" s="250" t="s">
        <v>3955</v>
      </c>
      <c r="C2246" s="250" t="s">
        <v>4235</v>
      </c>
      <c r="D2246" s="250" t="s">
        <v>171</v>
      </c>
      <c r="K2246" s="250">
        <v>1</v>
      </c>
      <c r="L2246" s="250">
        <v>2250</v>
      </c>
    </row>
    <row r="2247" spans="2:12" ht="15" customHeight="1" x14ac:dyDescent="0.2">
      <c r="B2247" s="250" t="s">
        <v>860</v>
      </c>
      <c r="C2247" s="250" t="s">
        <v>4227</v>
      </c>
      <c r="D2247" s="250" t="s">
        <v>171</v>
      </c>
      <c r="K2247" s="250">
        <v>1</v>
      </c>
      <c r="L2247" s="250">
        <v>3000</v>
      </c>
    </row>
    <row r="2248" spans="2:12" ht="15" customHeight="1" x14ac:dyDescent="0.2">
      <c r="B2248" s="250" t="s">
        <v>3956</v>
      </c>
      <c r="C2248" s="250" t="s">
        <v>4229</v>
      </c>
      <c r="D2248" s="250" t="s">
        <v>171</v>
      </c>
      <c r="K2248" s="250">
        <v>1</v>
      </c>
      <c r="L2248" s="250">
        <v>3000</v>
      </c>
    </row>
    <row r="2249" spans="2:12" ht="15" customHeight="1" x14ac:dyDescent="0.2">
      <c r="B2249" s="250" t="s">
        <v>3957</v>
      </c>
      <c r="C2249" s="250" t="s">
        <v>4227</v>
      </c>
      <c r="D2249" s="250" t="s">
        <v>171</v>
      </c>
      <c r="K2249" s="250">
        <v>1</v>
      </c>
      <c r="L2249" s="250">
        <v>3000</v>
      </c>
    </row>
    <row r="2250" spans="2:12" ht="15" customHeight="1" x14ac:dyDescent="0.2">
      <c r="B2250" s="250" t="s">
        <v>2203</v>
      </c>
      <c r="C2250" s="250" t="s">
        <v>857</v>
      </c>
      <c r="D2250" s="250" t="s">
        <v>171</v>
      </c>
      <c r="K2250" s="250">
        <v>1</v>
      </c>
      <c r="L2250" s="250">
        <v>3600</v>
      </c>
    </row>
    <row r="2251" spans="2:12" ht="15" customHeight="1" x14ac:dyDescent="0.2">
      <c r="B2251" s="250" t="s">
        <v>2204</v>
      </c>
      <c r="C2251" s="250" t="s">
        <v>857</v>
      </c>
      <c r="D2251" s="250" t="s">
        <v>171</v>
      </c>
      <c r="K2251" s="250">
        <v>1</v>
      </c>
      <c r="L2251" s="250">
        <v>3600</v>
      </c>
    </row>
    <row r="2252" spans="2:12" ht="15" customHeight="1" x14ac:dyDescent="0.2">
      <c r="B2252" s="250" t="s">
        <v>2205</v>
      </c>
      <c r="C2252" s="250" t="s">
        <v>857</v>
      </c>
      <c r="D2252" s="250" t="s">
        <v>171</v>
      </c>
      <c r="K2252" s="250">
        <v>1</v>
      </c>
      <c r="L2252" s="250">
        <v>3600</v>
      </c>
    </row>
    <row r="2253" spans="2:12" ht="15" customHeight="1" x14ac:dyDescent="0.2">
      <c r="B2253" s="250" t="s">
        <v>2206</v>
      </c>
      <c r="C2253" s="250" t="s">
        <v>857</v>
      </c>
      <c r="D2253" s="250" t="s">
        <v>171</v>
      </c>
      <c r="K2253" s="250">
        <v>1</v>
      </c>
      <c r="L2253" s="250">
        <v>3800</v>
      </c>
    </row>
    <row r="2254" spans="2:12" ht="15" customHeight="1" x14ac:dyDescent="0.2">
      <c r="B2254" s="250" t="s">
        <v>2207</v>
      </c>
      <c r="C2254" s="250" t="s">
        <v>857</v>
      </c>
      <c r="D2254" s="250" t="s">
        <v>171</v>
      </c>
      <c r="K2254" s="250">
        <v>1</v>
      </c>
      <c r="L2254" s="250">
        <v>3800</v>
      </c>
    </row>
    <row r="2255" spans="2:12" ht="15" customHeight="1" x14ac:dyDescent="0.2">
      <c r="B2255" s="250" t="s">
        <v>2208</v>
      </c>
      <c r="C2255" s="250" t="s">
        <v>857</v>
      </c>
      <c r="D2255" s="250" t="s">
        <v>171</v>
      </c>
      <c r="K2255" s="250">
        <v>1</v>
      </c>
      <c r="L2255" s="250">
        <v>3800</v>
      </c>
    </row>
    <row r="2256" spans="2:12" ht="15" customHeight="1" x14ac:dyDescent="0.2">
      <c r="B2256" s="250" t="s">
        <v>4131</v>
      </c>
    </row>
    <row r="2257" spans="2:15" ht="15" customHeight="1" x14ac:dyDescent="0.2">
      <c r="B2257" s="250" t="s">
        <v>4272</v>
      </c>
      <c r="C2257" s="250" t="s">
        <v>4273</v>
      </c>
      <c r="D2257" s="250" t="s">
        <v>61</v>
      </c>
      <c r="K2257" s="250">
        <v>1</v>
      </c>
      <c r="L2257" s="250">
        <v>560</v>
      </c>
      <c r="N2257" s="250">
        <v>500</v>
      </c>
      <c r="O2257" s="250">
        <f>ROUND(N2257*1.12,0)</f>
        <v>560</v>
      </c>
    </row>
    <row r="2258" spans="2:15" ht="15" customHeight="1" x14ac:dyDescent="0.2">
      <c r="B2258" s="250" t="s">
        <v>4274</v>
      </c>
      <c r="C2258" s="250" t="s">
        <v>4273</v>
      </c>
      <c r="D2258" s="250" t="s">
        <v>61</v>
      </c>
      <c r="K2258" s="250">
        <v>1</v>
      </c>
      <c r="L2258" s="250">
        <v>616</v>
      </c>
      <c r="N2258" s="250">
        <v>550</v>
      </c>
      <c r="O2258" s="250">
        <f t="shared" ref="O2258:O2270" si="4">ROUND(N2258*1.12,0)</f>
        <v>616</v>
      </c>
    </row>
    <row r="2259" spans="2:15" ht="15" customHeight="1" x14ac:dyDescent="0.2">
      <c r="B2259" s="250" t="s">
        <v>172</v>
      </c>
      <c r="C2259" s="250" t="s">
        <v>4275</v>
      </c>
      <c r="D2259" s="250" t="s">
        <v>61</v>
      </c>
      <c r="K2259" s="250">
        <v>1</v>
      </c>
      <c r="L2259" s="250">
        <v>560</v>
      </c>
      <c r="N2259" s="250">
        <v>500</v>
      </c>
      <c r="O2259" s="250">
        <f t="shared" si="4"/>
        <v>560</v>
      </c>
    </row>
    <row r="2260" spans="2:15" ht="15" customHeight="1" x14ac:dyDescent="0.2">
      <c r="B2260" s="250" t="s">
        <v>167</v>
      </c>
      <c r="C2260" s="250" t="s">
        <v>4275</v>
      </c>
      <c r="D2260" s="250" t="s">
        <v>61</v>
      </c>
      <c r="K2260" s="250">
        <v>1</v>
      </c>
      <c r="L2260" s="250">
        <v>672</v>
      </c>
      <c r="N2260" s="250">
        <v>600</v>
      </c>
      <c r="O2260" s="250">
        <f t="shared" si="4"/>
        <v>672</v>
      </c>
    </row>
    <row r="2261" spans="2:15" ht="15" customHeight="1" x14ac:dyDescent="0.2">
      <c r="B2261" s="250" t="s">
        <v>862</v>
      </c>
      <c r="C2261" s="250" t="s">
        <v>4029</v>
      </c>
      <c r="D2261" s="250" t="s">
        <v>61</v>
      </c>
      <c r="K2261" s="250">
        <v>1</v>
      </c>
      <c r="L2261" s="250">
        <v>896</v>
      </c>
      <c r="N2261" s="250">
        <v>800</v>
      </c>
      <c r="O2261" s="250">
        <f t="shared" si="4"/>
        <v>896</v>
      </c>
    </row>
    <row r="2262" spans="2:15" ht="15" customHeight="1" x14ac:dyDescent="0.2">
      <c r="B2262" s="250" t="s">
        <v>173</v>
      </c>
      <c r="C2262" s="250" t="s">
        <v>4275</v>
      </c>
      <c r="D2262" s="250" t="s">
        <v>111</v>
      </c>
      <c r="K2262" s="250">
        <v>1</v>
      </c>
      <c r="L2262" s="250">
        <v>616</v>
      </c>
      <c r="N2262" s="250">
        <v>550</v>
      </c>
      <c r="O2262" s="250">
        <f t="shared" si="4"/>
        <v>616</v>
      </c>
    </row>
    <row r="2263" spans="2:15" ht="15" customHeight="1" x14ac:dyDescent="0.2">
      <c r="B2263" s="250" t="s">
        <v>4276</v>
      </c>
      <c r="C2263" s="250" t="s">
        <v>4275</v>
      </c>
      <c r="D2263" s="250" t="s">
        <v>111</v>
      </c>
      <c r="K2263" s="250">
        <v>1</v>
      </c>
      <c r="L2263" s="250">
        <v>963</v>
      </c>
      <c r="N2263" s="250">
        <v>860</v>
      </c>
      <c r="O2263" s="250">
        <f t="shared" si="4"/>
        <v>963</v>
      </c>
    </row>
    <row r="2264" spans="2:15" ht="15" customHeight="1" x14ac:dyDescent="0.2">
      <c r="B2264" s="250" t="s">
        <v>3958</v>
      </c>
      <c r="C2264" s="250" t="s">
        <v>4275</v>
      </c>
      <c r="D2264" s="250" t="s">
        <v>111</v>
      </c>
      <c r="K2264" s="250">
        <v>1</v>
      </c>
      <c r="L2264" s="250">
        <v>963</v>
      </c>
      <c r="N2264" s="250">
        <v>860</v>
      </c>
      <c r="O2264" s="250">
        <f t="shared" si="4"/>
        <v>963</v>
      </c>
    </row>
    <row r="2265" spans="2:15" ht="15" customHeight="1" x14ac:dyDescent="0.2">
      <c r="B2265" s="250" t="s">
        <v>4277</v>
      </c>
      <c r="C2265" s="250" t="s">
        <v>4275</v>
      </c>
      <c r="D2265" s="250" t="s">
        <v>111</v>
      </c>
      <c r="K2265" s="250">
        <v>1</v>
      </c>
      <c r="L2265" s="250">
        <v>728</v>
      </c>
      <c r="N2265" s="250">
        <v>650</v>
      </c>
      <c r="O2265" s="250">
        <f t="shared" si="4"/>
        <v>728</v>
      </c>
    </row>
    <row r="2266" spans="2:15" ht="15" customHeight="1" x14ac:dyDescent="0.2">
      <c r="B2266" s="250" t="s">
        <v>4278</v>
      </c>
      <c r="C2266" s="250" t="s">
        <v>4275</v>
      </c>
      <c r="D2266" s="250" t="s">
        <v>111</v>
      </c>
      <c r="K2266" s="250">
        <v>1</v>
      </c>
      <c r="L2266" s="250">
        <v>963</v>
      </c>
      <c r="N2266" s="250">
        <v>860</v>
      </c>
      <c r="O2266" s="250">
        <f t="shared" si="4"/>
        <v>963</v>
      </c>
    </row>
    <row r="2267" spans="2:15" ht="15" customHeight="1" x14ac:dyDescent="0.2">
      <c r="B2267" s="250" t="s">
        <v>3959</v>
      </c>
      <c r="C2267" s="250" t="s">
        <v>4275</v>
      </c>
      <c r="D2267" s="250" t="s">
        <v>111</v>
      </c>
      <c r="K2267" s="250">
        <v>1</v>
      </c>
      <c r="L2267" s="250">
        <v>1064</v>
      </c>
      <c r="N2267" s="250">
        <v>950</v>
      </c>
      <c r="O2267" s="250">
        <f t="shared" si="4"/>
        <v>1064</v>
      </c>
    </row>
    <row r="2268" spans="2:15" ht="15" customHeight="1" x14ac:dyDescent="0.2">
      <c r="B2268" s="250" t="s">
        <v>149</v>
      </c>
      <c r="C2268" s="250" t="s">
        <v>4273</v>
      </c>
      <c r="D2268" s="250" t="s">
        <v>111</v>
      </c>
      <c r="K2268" s="250">
        <v>1</v>
      </c>
      <c r="L2268" s="250">
        <v>896</v>
      </c>
      <c r="N2268" s="250">
        <v>800</v>
      </c>
      <c r="O2268" s="250">
        <f t="shared" si="4"/>
        <v>896</v>
      </c>
    </row>
    <row r="2269" spans="2:15" ht="15" customHeight="1" x14ac:dyDescent="0.2">
      <c r="B2269" s="250" t="s">
        <v>158</v>
      </c>
      <c r="C2269" s="250" t="s">
        <v>4029</v>
      </c>
      <c r="D2269" s="250" t="s">
        <v>111</v>
      </c>
      <c r="K2269" s="250">
        <v>1</v>
      </c>
      <c r="L2269" s="250">
        <v>952</v>
      </c>
      <c r="N2269" s="250">
        <v>850</v>
      </c>
      <c r="O2269" s="250">
        <f t="shared" si="4"/>
        <v>952</v>
      </c>
    </row>
    <row r="2270" spans="2:15" ht="15" customHeight="1" x14ac:dyDescent="0.2">
      <c r="B2270" s="250" t="s">
        <v>4279</v>
      </c>
      <c r="C2270" s="250" t="s">
        <v>4275</v>
      </c>
      <c r="D2270" s="250" t="s">
        <v>111</v>
      </c>
      <c r="K2270" s="250">
        <v>1</v>
      </c>
      <c r="L2270" s="250">
        <v>952</v>
      </c>
      <c r="N2270" s="250">
        <v>850</v>
      </c>
      <c r="O2270" s="250">
        <f t="shared" si="4"/>
        <v>952</v>
      </c>
    </row>
    <row r="2271" spans="2:15" ht="15" customHeight="1" x14ac:dyDescent="0.2">
      <c r="B2271" s="250" t="s">
        <v>863</v>
      </c>
      <c r="C2271" s="250" t="s">
        <v>4029</v>
      </c>
      <c r="D2271" s="250" t="s">
        <v>115</v>
      </c>
      <c r="K2271" s="250">
        <v>1</v>
      </c>
      <c r="L2271" s="250">
        <v>240</v>
      </c>
    </row>
    <row r="2272" spans="2:15" ht="15" customHeight="1" x14ac:dyDescent="0.2">
      <c r="B2272" s="250" t="s">
        <v>864</v>
      </c>
      <c r="C2272" s="250" t="s">
        <v>4029</v>
      </c>
      <c r="D2272" s="250" t="s">
        <v>115</v>
      </c>
      <c r="K2272" s="250">
        <v>1</v>
      </c>
      <c r="L2272" s="250">
        <v>280</v>
      </c>
    </row>
    <row r="2273" spans="2:12" ht="15" customHeight="1" x14ac:dyDescent="0.2">
      <c r="B2273" s="250" t="s">
        <v>146</v>
      </c>
      <c r="C2273" s="250" t="s">
        <v>4275</v>
      </c>
      <c r="D2273" s="250" t="s">
        <v>115</v>
      </c>
      <c r="K2273" s="250">
        <v>1</v>
      </c>
      <c r="L2273" s="250">
        <v>400</v>
      </c>
    </row>
    <row r="2274" spans="2:12" ht="15" customHeight="1" x14ac:dyDescent="0.2">
      <c r="B2274" s="250" t="s">
        <v>4131</v>
      </c>
    </row>
    <row r="2275" spans="2:12" ht="15" customHeight="1" x14ac:dyDescent="0.2">
      <c r="B2275" s="250" t="s">
        <v>865</v>
      </c>
      <c r="C2275" s="250" t="s">
        <v>867</v>
      </c>
      <c r="D2275" s="250" t="s">
        <v>866</v>
      </c>
      <c r="K2275" s="250">
        <v>1</v>
      </c>
      <c r="L2275" s="250">
        <v>380</v>
      </c>
    </row>
    <row r="2276" spans="2:12" ht="15" customHeight="1" x14ac:dyDescent="0.2">
      <c r="B2276" s="250" t="s">
        <v>868</v>
      </c>
      <c r="C2276" s="250" t="s">
        <v>867</v>
      </c>
      <c r="D2276" s="250" t="s">
        <v>869</v>
      </c>
      <c r="K2276" s="250">
        <v>1</v>
      </c>
      <c r="L2276" s="250">
        <v>750</v>
      </c>
    </row>
    <row r="2277" spans="2:12" ht="15" customHeight="1" x14ac:dyDescent="0.2">
      <c r="B2277" s="250" t="s">
        <v>3900</v>
      </c>
    </row>
    <row r="2278" spans="2:12" ht="15" customHeight="1" x14ac:dyDescent="0.2">
      <c r="B2278" s="250" t="s">
        <v>870</v>
      </c>
      <c r="C2278" s="250" t="s">
        <v>126</v>
      </c>
      <c r="D2278" s="250" t="s">
        <v>866</v>
      </c>
      <c r="K2278" s="250">
        <v>1</v>
      </c>
      <c r="L2278" s="250">
        <v>380</v>
      </c>
    </row>
    <row r="2279" spans="2:12" ht="15" customHeight="1" x14ac:dyDescent="0.2">
      <c r="B2279" s="250" t="s">
        <v>871</v>
      </c>
      <c r="C2279" s="250" t="s">
        <v>126</v>
      </c>
      <c r="D2279" s="250" t="s">
        <v>869</v>
      </c>
      <c r="K2279" s="250">
        <v>1</v>
      </c>
      <c r="L2279" s="250">
        <v>750</v>
      </c>
    </row>
    <row r="2280" spans="2:12" ht="15" customHeight="1" x14ac:dyDescent="0.2">
      <c r="B2280" s="250" t="s">
        <v>3960</v>
      </c>
      <c r="C2280" s="250" t="s">
        <v>126</v>
      </c>
      <c r="D2280" s="250" t="s">
        <v>869</v>
      </c>
      <c r="K2280" s="250">
        <v>1</v>
      </c>
      <c r="L2280" s="250">
        <v>1500</v>
      </c>
    </row>
    <row r="2281" spans="2:12" ht="15" customHeight="1" x14ac:dyDescent="0.2">
      <c r="B2281" s="250" t="s">
        <v>4280</v>
      </c>
      <c r="C2281" s="250" t="s">
        <v>126</v>
      </c>
      <c r="D2281" s="250" t="s">
        <v>869</v>
      </c>
      <c r="K2281" s="250">
        <v>1</v>
      </c>
      <c r="L2281" s="250">
        <v>1800</v>
      </c>
    </row>
    <row r="2282" spans="2:12" ht="15" customHeight="1" x14ac:dyDescent="0.2">
      <c r="B2282" s="250" t="s">
        <v>3961</v>
      </c>
      <c r="C2282" s="250" t="s">
        <v>126</v>
      </c>
      <c r="D2282" s="250" t="s">
        <v>869</v>
      </c>
      <c r="K2282" s="250">
        <v>1</v>
      </c>
      <c r="L2282" s="250">
        <v>2100</v>
      </c>
    </row>
    <row r="2283" spans="2:12" ht="15" customHeight="1" x14ac:dyDescent="0.2">
      <c r="B2283" s="250" t="s">
        <v>4131</v>
      </c>
    </row>
    <row r="2284" spans="2:12" ht="15" customHeight="1" x14ac:dyDescent="0.2">
      <c r="B2284" s="249" t="s">
        <v>148</v>
      </c>
      <c r="C2284" s="250" t="s">
        <v>110</v>
      </c>
      <c r="D2284" s="250" t="s">
        <v>109</v>
      </c>
      <c r="K2284" s="250">
        <v>1</v>
      </c>
      <c r="L2284" s="250">
        <v>60</v>
      </c>
    </row>
    <row r="2285" spans="2:12" ht="15" customHeight="1" x14ac:dyDescent="0.2">
      <c r="B2285" s="249" t="s">
        <v>872</v>
      </c>
      <c r="C2285" s="250" t="s">
        <v>110</v>
      </c>
      <c r="D2285" s="250" t="s">
        <v>109</v>
      </c>
      <c r="K2285" s="250">
        <v>1</v>
      </c>
      <c r="L2285" s="250">
        <v>80</v>
      </c>
    </row>
    <row r="2286" spans="2:12" ht="15" customHeight="1" x14ac:dyDescent="0.2">
      <c r="B2286" s="249" t="s">
        <v>873</v>
      </c>
      <c r="C2286" s="250" t="s">
        <v>110</v>
      </c>
      <c r="D2286" s="250" t="s">
        <v>109</v>
      </c>
      <c r="K2286" s="250">
        <v>1</v>
      </c>
      <c r="L2286" s="250">
        <v>100</v>
      </c>
    </row>
    <row r="2287" spans="2:12" ht="15" customHeight="1" x14ac:dyDescent="0.2">
      <c r="B2287" s="249" t="s">
        <v>874</v>
      </c>
      <c r="C2287" s="250" t="s">
        <v>110</v>
      </c>
      <c r="D2287" s="250" t="s">
        <v>109</v>
      </c>
      <c r="K2287" s="250">
        <v>1</v>
      </c>
      <c r="L2287" s="250">
        <v>125</v>
      </c>
    </row>
    <row r="2288" spans="2:12" ht="15" customHeight="1" x14ac:dyDescent="0.2">
      <c r="B2288" s="249" t="s">
        <v>875</v>
      </c>
      <c r="C2288" s="250" t="s">
        <v>110</v>
      </c>
      <c r="D2288" s="250" t="s">
        <v>109</v>
      </c>
      <c r="K2288" s="250">
        <v>1</v>
      </c>
      <c r="L2288" s="250">
        <v>130</v>
      </c>
    </row>
    <row r="2289" spans="2:12" ht="15" customHeight="1" x14ac:dyDescent="0.2">
      <c r="B2289" s="249" t="s">
        <v>876</v>
      </c>
      <c r="C2289" s="250" t="s">
        <v>110</v>
      </c>
      <c r="D2289" s="250" t="s">
        <v>109</v>
      </c>
      <c r="K2289" s="250">
        <v>1</v>
      </c>
      <c r="L2289" s="250">
        <v>140</v>
      </c>
    </row>
    <row r="2290" spans="2:12" ht="15" customHeight="1" x14ac:dyDescent="0.2">
      <c r="B2290" s="249" t="s">
        <v>877</v>
      </c>
      <c r="C2290" s="250" t="s">
        <v>110</v>
      </c>
      <c r="D2290" s="250" t="s">
        <v>109</v>
      </c>
      <c r="K2290" s="250">
        <v>1</v>
      </c>
      <c r="L2290" s="250">
        <v>150</v>
      </c>
    </row>
    <row r="2291" spans="2:12" ht="15" customHeight="1" x14ac:dyDescent="0.2">
      <c r="B2291" s="249" t="s">
        <v>174</v>
      </c>
      <c r="C2291" s="250" t="s">
        <v>110</v>
      </c>
      <c r="D2291" s="250" t="s">
        <v>109</v>
      </c>
      <c r="K2291" s="250">
        <v>1</v>
      </c>
      <c r="L2291" s="250">
        <v>160</v>
      </c>
    </row>
    <row r="2292" spans="2:12" ht="15" customHeight="1" x14ac:dyDescent="0.2">
      <c r="B2292" s="250" t="s">
        <v>3900</v>
      </c>
    </row>
    <row r="2293" spans="2:12" ht="15" customHeight="1" x14ac:dyDescent="0.2">
      <c r="B2293" s="250" t="s">
        <v>878</v>
      </c>
      <c r="C2293" s="250" t="s">
        <v>879</v>
      </c>
      <c r="D2293" s="250" t="s">
        <v>130</v>
      </c>
      <c r="K2293" s="250">
        <v>1</v>
      </c>
      <c r="L2293" s="250">
        <v>900</v>
      </c>
    </row>
    <row r="2294" spans="2:12" ht="15" customHeight="1" x14ac:dyDescent="0.2">
      <c r="B2294" s="250" t="s">
        <v>880</v>
      </c>
      <c r="C2294" s="250" t="s">
        <v>879</v>
      </c>
      <c r="D2294" s="250" t="s">
        <v>130</v>
      </c>
      <c r="K2294" s="250">
        <v>1</v>
      </c>
      <c r="L2294" s="250">
        <v>1200</v>
      </c>
    </row>
    <row r="2295" spans="2:12" ht="15" customHeight="1" x14ac:dyDescent="0.2">
      <c r="B2295" s="250" t="s">
        <v>881</v>
      </c>
      <c r="C2295" s="250" t="s">
        <v>879</v>
      </c>
      <c r="D2295" s="250" t="s">
        <v>130</v>
      </c>
      <c r="K2295" s="250">
        <v>1</v>
      </c>
      <c r="L2295" s="250">
        <v>2200</v>
      </c>
    </row>
    <row r="2296" spans="2:12" ht="15" customHeight="1" x14ac:dyDescent="0.2">
      <c r="B2296" s="250" t="s">
        <v>882</v>
      </c>
      <c r="C2296" s="250" t="s">
        <v>879</v>
      </c>
      <c r="D2296" s="250" t="s">
        <v>130</v>
      </c>
      <c r="K2296" s="250">
        <v>1</v>
      </c>
      <c r="L2296" s="250">
        <v>1200</v>
      </c>
    </row>
    <row r="2297" spans="2:12" ht="15" customHeight="1" x14ac:dyDescent="0.2">
      <c r="B2297" s="250" t="s">
        <v>883</v>
      </c>
      <c r="C2297" s="250" t="s">
        <v>879</v>
      </c>
      <c r="D2297" s="250" t="s">
        <v>130</v>
      </c>
      <c r="K2297" s="250">
        <v>1</v>
      </c>
      <c r="L2297" s="250">
        <v>1800</v>
      </c>
    </row>
    <row r="2298" spans="2:12" ht="15" customHeight="1" x14ac:dyDescent="0.2">
      <c r="B2298" s="250" t="s">
        <v>3900</v>
      </c>
    </row>
    <row r="2299" spans="2:12" ht="15" customHeight="1" x14ac:dyDescent="0.2">
      <c r="B2299" s="250" t="s">
        <v>884</v>
      </c>
      <c r="C2299" s="250" t="s">
        <v>885</v>
      </c>
      <c r="D2299" s="250" t="s">
        <v>130</v>
      </c>
      <c r="K2299" s="250">
        <v>1</v>
      </c>
      <c r="L2299" s="250">
        <v>900</v>
      </c>
    </row>
    <row r="2300" spans="2:12" ht="15" customHeight="1" x14ac:dyDescent="0.2">
      <c r="B2300" s="250" t="s">
        <v>144</v>
      </c>
      <c r="C2300" s="250" t="s">
        <v>885</v>
      </c>
      <c r="D2300" s="250" t="s">
        <v>130</v>
      </c>
      <c r="K2300" s="250">
        <v>1</v>
      </c>
      <c r="L2300" s="250">
        <v>1500</v>
      </c>
    </row>
    <row r="2301" spans="2:12" ht="15" customHeight="1" x14ac:dyDescent="0.2">
      <c r="B2301" s="250" t="s">
        <v>83</v>
      </c>
      <c r="C2301" s="250" t="s">
        <v>885</v>
      </c>
      <c r="D2301" s="250" t="s">
        <v>130</v>
      </c>
      <c r="K2301" s="250">
        <v>1</v>
      </c>
      <c r="L2301" s="250">
        <v>2500</v>
      </c>
    </row>
    <row r="2302" spans="2:12" ht="15" customHeight="1" x14ac:dyDescent="0.2">
      <c r="B2302" s="250" t="s">
        <v>3962</v>
      </c>
      <c r="C2302" s="250" t="s">
        <v>3963</v>
      </c>
      <c r="D2302" s="250" t="s">
        <v>130</v>
      </c>
      <c r="K2302" s="250">
        <v>1</v>
      </c>
      <c r="L2302" s="250">
        <v>900</v>
      </c>
    </row>
    <row r="2303" spans="2:12" ht="15" customHeight="1" x14ac:dyDescent="0.2">
      <c r="B2303" s="250" t="s">
        <v>3964</v>
      </c>
      <c r="C2303" s="250" t="s">
        <v>4281</v>
      </c>
      <c r="D2303" s="250" t="s">
        <v>130</v>
      </c>
      <c r="K2303" s="250">
        <v>1</v>
      </c>
      <c r="L2303" s="250">
        <v>1500</v>
      </c>
    </row>
    <row r="2304" spans="2:12" ht="15" customHeight="1" x14ac:dyDescent="0.2">
      <c r="B2304" s="250" t="s">
        <v>4282</v>
      </c>
      <c r="C2304" s="250" t="s">
        <v>4281</v>
      </c>
      <c r="D2304" s="250" t="s">
        <v>130</v>
      </c>
      <c r="K2304" s="250">
        <v>1</v>
      </c>
      <c r="L2304" s="250">
        <v>2500</v>
      </c>
    </row>
    <row r="2305" spans="2:12" ht="15" customHeight="1" x14ac:dyDescent="0.2">
      <c r="B2305" s="250" t="s">
        <v>4131</v>
      </c>
    </row>
    <row r="2306" spans="2:12" ht="15" customHeight="1" x14ac:dyDescent="0.2">
      <c r="B2306" s="250" t="s">
        <v>4283</v>
      </c>
      <c r="C2306" s="250" t="s">
        <v>3965</v>
      </c>
      <c r="D2306" s="250" t="s">
        <v>4284</v>
      </c>
      <c r="K2306" s="250">
        <v>1</v>
      </c>
      <c r="L2306" s="250">
        <v>1500</v>
      </c>
    </row>
    <row r="2307" spans="2:12" ht="15" customHeight="1" x14ac:dyDescent="0.2">
      <c r="B2307" s="250" t="s">
        <v>4131</v>
      </c>
    </row>
    <row r="2308" spans="2:12" ht="15" customHeight="1" x14ac:dyDescent="0.2">
      <c r="B2308" s="250" t="s">
        <v>147</v>
      </c>
      <c r="C2308" s="250" t="s">
        <v>86</v>
      </c>
      <c r="D2308" s="250" t="s">
        <v>85</v>
      </c>
      <c r="K2308" s="250">
        <v>1</v>
      </c>
      <c r="L2308" s="250">
        <v>200</v>
      </c>
    </row>
    <row r="2309" spans="2:12" ht="15" customHeight="1" x14ac:dyDescent="0.2">
      <c r="B2309" s="250" t="s">
        <v>886</v>
      </c>
      <c r="C2309" s="250" t="s">
        <v>86</v>
      </c>
      <c r="D2309" s="250" t="s">
        <v>85</v>
      </c>
      <c r="K2309" s="250">
        <v>1</v>
      </c>
      <c r="L2309" s="250">
        <v>180</v>
      </c>
    </row>
    <row r="2310" spans="2:12" ht="15" customHeight="1" x14ac:dyDescent="0.2">
      <c r="B2310" s="250" t="s">
        <v>197</v>
      </c>
      <c r="C2310" s="250" t="s">
        <v>86</v>
      </c>
      <c r="D2310" s="250" t="s">
        <v>85</v>
      </c>
      <c r="K2310" s="250">
        <v>1</v>
      </c>
      <c r="L2310" s="250">
        <v>10</v>
      </c>
    </row>
    <row r="2311" spans="2:12" ht="15" customHeight="1" x14ac:dyDescent="0.2">
      <c r="B2311" s="250" t="s">
        <v>3966</v>
      </c>
      <c r="C2311" s="250" t="s">
        <v>86</v>
      </c>
      <c r="D2311" s="250" t="s">
        <v>887</v>
      </c>
      <c r="K2311" s="250">
        <v>1</v>
      </c>
      <c r="L2311" s="250">
        <v>380</v>
      </c>
    </row>
    <row r="2312" spans="2:12" ht="15" customHeight="1" x14ac:dyDescent="0.2">
      <c r="B2312" s="250" t="s">
        <v>4131</v>
      </c>
    </row>
    <row r="2313" spans="2:12" ht="15" customHeight="1" x14ac:dyDescent="0.2">
      <c r="B2313" s="250" t="s">
        <v>895</v>
      </c>
      <c r="C2313" s="250" t="s">
        <v>4285</v>
      </c>
      <c r="D2313" s="250" t="s">
        <v>138</v>
      </c>
      <c r="K2313" s="250">
        <v>1</v>
      </c>
      <c r="L2313" s="250">
        <v>20</v>
      </c>
    </row>
    <row r="2314" spans="2:12" ht="15" customHeight="1" x14ac:dyDescent="0.2">
      <c r="B2314" s="250" t="s">
        <v>152</v>
      </c>
      <c r="C2314" s="250" t="s">
        <v>4286</v>
      </c>
      <c r="D2314" s="250" t="s">
        <v>138</v>
      </c>
      <c r="K2314" s="250">
        <v>1</v>
      </c>
      <c r="L2314" s="250">
        <v>33</v>
      </c>
    </row>
    <row r="2315" spans="2:12" ht="15" customHeight="1" x14ac:dyDescent="0.2">
      <c r="B2315" s="250" t="s">
        <v>4131</v>
      </c>
    </row>
    <row r="2316" spans="2:12" ht="15" customHeight="1" x14ac:dyDescent="0.2">
      <c r="B2316" s="250" t="s">
        <v>169</v>
      </c>
      <c r="C2316" s="250" t="s">
        <v>88</v>
      </c>
      <c r="D2316" s="250" t="s">
        <v>87</v>
      </c>
      <c r="K2316" s="250">
        <v>1</v>
      </c>
      <c r="L2316" s="250">
        <v>42</v>
      </c>
    </row>
    <row r="2317" spans="2:12" ht="15" customHeight="1" x14ac:dyDescent="0.2">
      <c r="B2317" s="250" t="s">
        <v>165</v>
      </c>
      <c r="C2317" s="250" t="s">
        <v>88</v>
      </c>
      <c r="D2317" s="250" t="s">
        <v>87</v>
      </c>
      <c r="K2317" s="250">
        <v>1</v>
      </c>
      <c r="L2317" s="250">
        <v>75</v>
      </c>
    </row>
    <row r="2318" spans="2:12" ht="15" customHeight="1" x14ac:dyDescent="0.2">
      <c r="B2318" s="250" t="s">
        <v>3967</v>
      </c>
      <c r="C2318" s="250" t="s">
        <v>88</v>
      </c>
      <c r="D2318" s="250" t="s">
        <v>87</v>
      </c>
      <c r="K2318" s="250">
        <v>1</v>
      </c>
      <c r="L2318" s="250">
        <v>140</v>
      </c>
    </row>
    <row r="2319" spans="2:12" ht="15" customHeight="1" x14ac:dyDescent="0.2">
      <c r="B2319" s="250" t="s">
        <v>888</v>
      </c>
      <c r="C2319" s="250" t="s">
        <v>88</v>
      </c>
      <c r="D2319" s="250" t="s">
        <v>87</v>
      </c>
      <c r="K2319" s="250">
        <v>1</v>
      </c>
      <c r="L2319" s="250">
        <v>280</v>
      </c>
    </row>
    <row r="2320" spans="2:12" ht="15" customHeight="1" x14ac:dyDescent="0.2">
      <c r="B2320" s="250" t="s">
        <v>4287</v>
      </c>
      <c r="C2320" s="250" t="s">
        <v>88</v>
      </c>
      <c r="D2320" s="250" t="s">
        <v>87</v>
      </c>
      <c r="K2320" s="250">
        <v>1</v>
      </c>
      <c r="L2320" s="250">
        <v>500</v>
      </c>
    </row>
    <row r="2321" spans="2:12" ht="15" customHeight="1" x14ac:dyDescent="0.2">
      <c r="B2321" s="250" t="s">
        <v>3968</v>
      </c>
      <c r="C2321" s="250" t="s">
        <v>88</v>
      </c>
      <c r="D2321" s="250" t="s">
        <v>87</v>
      </c>
      <c r="K2321" s="250">
        <v>1</v>
      </c>
      <c r="L2321" s="250">
        <v>530</v>
      </c>
    </row>
    <row r="2322" spans="2:12" ht="15" customHeight="1" x14ac:dyDescent="0.2">
      <c r="B2322" s="250" t="s">
        <v>170</v>
      </c>
      <c r="C2322" s="250" t="s">
        <v>88</v>
      </c>
      <c r="D2322" s="250" t="s">
        <v>89</v>
      </c>
      <c r="K2322" s="250">
        <v>1</v>
      </c>
      <c r="L2322" s="250">
        <v>45</v>
      </c>
    </row>
    <row r="2323" spans="2:12" ht="15" customHeight="1" x14ac:dyDescent="0.2">
      <c r="B2323" s="250" t="s">
        <v>166</v>
      </c>
      <c r="C2323" s="250" t="s">
        <v>88</v>
      </c>
      <c r="D2323" s="250" t="s">
        <v>89</v>
      </c>
      <c r="K2323" s="250">
        <v>1</v>
      </c>
      <c r="L2323" s="250">
        <v>60</v>
      </c>
    </row>
    <row r="2324" spans="2:12" ht="15" customHeight="1" x14ac:dyDescent="0.2">
      <c r="B2324" s="250" t="s">
        <v>889</v>
      </c>
      <c r="C2324" s="250" t="s">
        <v>88</v>
      </c>
      <c r="D2324" s="250" t="s">
        <v>89</v>
      </c>
      <c r="K2324" s="250">
        <v>1</v>
      </c>
      <c r="L2324" s="250">
        <v>85</v>
      </c>
    </row>
    <row r="2325" spans="2:12" ht="15" customHeight="1" x14ac:dyDescent="0.2">
      <c r="B2325" s="250" t="s">
        <v>4288</v>
      </c>
      <c r="C2325" s="250" t="s">
        <v>88</v>
      </c>
      <c r="D2325" s="250" t="s">
        <v>89</v>
      </c>
      <c r="K2325" s="250">
        <v>1</v>
      </c>
      <c r="L2325" s="250">
        <v>138</v>
      </c>
    </row>
    <row r="2326" spans="2:12" ht="15" customHeight="1" x14ac:dyDescent="0.2">
      <c r="B2326" s="250" t="s">
        <v>3969</v>
      </c>
      <c r="C2326" s="250" t="s">
        <v>88</v>
      </c>
      <c r="D2326" s="250" t="s">
        <v>89</v>
      </c>
      <c r="K2326" s="250">
        <v>1</v>
      </c>
      <c r="L2326" s="250">
        <v>198</v>
      </c>
    </row>
    <row r="2327" spans="2:12" ht="15" customHeight="1" x14ac:dyDescent="0.2">
      <c r="B2327" s="250" t="s">
        <v>135</v>
      </c>
      <c r="C2327" s="250" t="s">
        <v>88</v>
      </c>
      <c r="D2327" s="250" t="s">
        <v>91</v>
      </c>
      <c r="K2327" s="250">
        <v>1</v>
      </c>
      <c r="L2327" s="250">
        <v>45</v>
      </c>
    </row>
    <row r="2328" spans="2:12" ht="15" customHeight="1" x14ac:dyDescent="0.2">
      <c r="B2328" s="250" t="s">
        <v>890</v>
      </c>
      <c r="C2328" s="250" t="s">
        <v>88</v>
      </c>
      <c r="D2328" s="250" t="s">
        <v>91</v>
      </c>
      <c r="K2328" s="250">
        <v>1</v>
      </c>
      <c r="L2328" s="250">
        <v>489</v>
      </c>
    </row>
    <row r="2329" spans="2:12" ht="15" customHeight="1" x14ac:dyDescent="0.2">
      <c r="B2329" s="250" t="s">
        <v>891</v>
      </c>
      <c r="C2329" s="250" t="s">
        <v>88</v>
      </c>
      <c r="D2329" s="250" t="s">
        <v>91</v>
      </c>
      <c r="K2329" s="250">
        <v>1</v>
      </c>
      <c r="L2329" s="250">
        <v>567</v>
      </c>
    </row>
    <row r="2330" spans="2:12" ht="15" customHeight="1" x14ac:dyDescent="0.2">
      <c r="B2330" s="250" t="s">
        <v>892</v>
      </c>
      <c r="C2330" s="250" t="s">
        <v>88</v>
      </c>
      <c r="D2330" s="250" t="s">
        <v>102</v>
      </c>
      <c r="K2330" s="250">
        <v>1</v>
      </c>
      <c r="L2330" s="250">
        <v>258</v>
      </c>
    </row>
    <row r="2331" spans="2:12" ht="15" customHeight="1" x14ac:dyDescent="0.2">
      <c r="B2331" s="250" t="s">
        <v>137</v>
      </c>
      <c r="C2331" s="250" t="s">
        <v>88</v>
      </c>
      <c r="D2331" s="250" t="s">
        <v>95</v>
      </c>
      <c r="K2331" s="250">
        <v>1</v>
      </c>
      <c r="L2331" s="250">
        <v>93</v>
      </c>
    </row>
    <row r="2332" spans="2:12" ht="15" customHeight="1" x14ac:dyDescent="0.2">
      <c r="B2332" s="250" t="s">
        <v>893</v>
      </c>
      <c r="C2332" s="250" t="s">
        <v>88</v>
      </c>
      <c r="D2332" s="250" t="s">
        <v>95</v>
      </c>
      <c r="K2332" s="250">
        <v>1</v>
      </c>
      <c r="L2332" s="250">
        <v>538</v>
      </c>
    </row>
    <row r="2333" spans="2:12" ht="15" customHeight="1" x14ac:dyDescent="0.2">
      <c r="B2333" s="249" t="s">
        <v>136</v>
      </c>
      <c r="C2333" s="250" t="s">
        <v>88</v>
      </c>
      <c r="D2333" s="250" t="s">
        <v>93</v>
      </c>
      <c r="K2333" s="250">
        <v>1</v>
      </c>
      <c r="L2333" s="250">
        <v>22</v>
      </c>
    </row>
    <row r="2334" spans="2:12" ht="15" customHeight="1" x14ac:dyDescent="0.2">
      <c r="B2334" s="249" t="s">
        <v>894</v>
      </c>
      <c r="C2334" s="250" t="s">
        <v>88</v>
      </c>
      <c r="D2334" s="250" t="s">
        <v>93</v>
      </c>
      <c r="K2334" s="250">
        <v>1</v>
      </c>
      <c r="L2334" s="250">
        <v>116</v>
      </c>
    </row>
    <row r="2335" spans="2:12" ht="15" customHeight="1" x14ac:dyDescent="0.2">
      <c r="B2335" s="250" t="s">
        <v>896</v>
      </c>
      <c r="C2335" s="250" t="s">
        <v>88</v>
      </c>
      <c r="D2335" s="250" t="s">
        <v>160</v>
      </c>
      <c r="K2335" s="250">
        <v>1</v>
      </c>
      <c r="L2335" s="250">
        <v>180</v>
      </c>
    </row>
    <row r="2336" spans="2:12" ht="15" customHeight="1" x14ac:dyDescent="0.2">
      <c r="B2336" s="250" t="s">
        <v>897</v>
      </c>
      <c r="C2336" s="250" t="s">
        <v>88</v>
      </c>
      <c r="D2336" s="250" t="s">
        <v>138</v>
      </c>
      <c r="K2336" s="250">
        <v>1</v>
      </c>
      <c r="L2336" s="250">
        <v>25</v>
      </c>
    </row>
    <row r="2337" spans="2:12" ht="15" customHeight="1" x14ac:dyDescent="0.2">
      <c r="B2337" s="250" t="s">
        <v>898</v>
      </c>
      <c r="C2337" s="250" t="s">
        <v>88</v>
      </c>
      <c r="D2337" s="250" t="s">
        <v>138</v>
      </c>
      <c r="K2337" s="250">
        <v>1</v>
      </c>
      <c r="L2337" s="250">
        <v>75</v>
      </c>
    </row>
    <row r="2338" spans="2:12" ht="15" customHeight="1" x14ac:dyDescent="0.2">
      <c r="B2338" s="250" t="s">
        <v>4289</v>
      </c>
      <c r="C2338" s="250" t="s">
        <v>88</v>
      </c>
      <c r="D2338" s="250" t="s">
        <v>899</v>
      </c>
      <c r="K2338" s="250">
        <v>1</v>
      </c>
      <c r="L2338" s="250">
        <v>11</v>
      </c>
    </row>
    <row r="2339" spans="2:12" ht="15" customHeight="1" x14ac:dyDescent="0.2">
      <c r="B2339" s="250" t="s">
        <v>4290</v>
      </c>
      <c r="C2339" s="250" t="s">
        <v>88</v>
      </c>
      <c r="D2339" s="250" t="s">
        <v>899</v>
      </c>
      <c r="K2339" s="250">
        <v>1</v>
      </c>
      <c r="L2339" s="250">
        <v>17</v>
      </c>
    </row>
    <row r="2340" spans="2:12" ht="15" customHeight="1" x14ac:dyDescent="0.2">
      <c r="B2340" s="250" t="s">
        <v>900</v>
      </c>
      <c r="C2340" s="250" t="s">
        <v>88</v>
      </c>
      <c r="D2340" s="250" t="s">
        <v>901</v>
      </c>
      <c r="K2340" s="250">
        <v>1</v>
      </c>
      <c r="L2340" s="250">
        <v>28</v>
      </c>
    </row>
    <row r="2341" spans="2:12" ht="15" customHeight="1" x14ac:dyDescent="0.2">
      <c r="B2341" s="250" t="s">
        <v>902</v>
      </c>
      <c r="C2341" s="250" t="s">
        <v>88</v>
      </c>
      <c r="D2341" s="250" t="s">
        <v>901</v>
      </c>
      <c r="K2341" s="250">
        <v>1</v>
      </c>
      <c r="L2341" s="250">
        <v>59</v>
      </c>
    </row>
    <row r="2342" spans="2:12" ht="15" customHeight="1" x14ac:dyDescent="0.2">
      <c r="B2342" s="250" t="s">
        <v>903</v>
      </c>
      <c r="C2342" s="250" t="s">
        <v>88</v>
      </c>
      <c r="D2342" s="250" t="s">
        <v>904</v>
      </c>
      <c r="K2342" s="250">
        <v>1</v>
      </c>
      <c r="L2342" s="250">
        <v>13</v>
      </c>
    </row>
    <row r="2343" spans="2:12" ht="15" customHeight="1" x14ac:dyDescent="0.2">
      <c r="B2343" s="250" t="s">
        <v>157</v>
      </c>
      <c r="C2343" s="250" t="s">
        <v>88</v>
      </c>
      <c r="D2343" s="250" t="s">
        <v>119</v>
      </c>
      <c r="K2343" s="250">
        <v>1</v>
      </c>
      <c r="L2343" s="250">
        <v>465</v>
      </c>
    </row>
    <row r="2344" spans="2:12" ht="15" customHeight="1" x14ac:dyDescent="0.2">
      <c r="B2344" s="250" t="s">
        <v>4174</v>
      </c>
    </row>
    <row r="2345" spans="2:12" ht="15" customHeight="1" x14ac:dyDescent="0.2">
      <c r="B2345" s="250" t="s">
        <v>98</v>
      </c>
      <c r="C2345" s="250" t="s">
        <v>99</v>
      </c>
      <c r="D2345" s="250" t="s">
        <v>97</v>
      </c>
      <c r="K2345" s="250">
        <v>1</v>
      </c>
      <c r="L2345" s="250">
        <v>55</v>
      </c>
    </row>
    <row r="2346" spans="2:12" ht="15" customHeight="1" x14ac:dyDescent="0.2">
      <c r="B2346" s="250" t="s">
        <v>4174</v>
      </c>
    </row>
    <row r="2347" spans="2:12" ht="15" customHeight="1" x14ac:dyDescent="0.2">
      <c r="B2347" s="250" t="s">
        <v>1929</v>
      </c>
      <c r="C2347" s="250" t="s">
        <v>126</v>
      </c>
      <c r="D2347" s="250" t="s">
        <v>905</v>
      </c>
      <c r="K2347" s="250">
        <v>1</v>
      </c>
      <c r="L2347" s="250">
        <v>110</v>
      </c>
    </row>
    <row r="2348" spans="2:12" ht="15" customHeight="1" x14ac:dyDescent="0.2">
      <c r="B2348" s="250" t="s">
        <v>4291</v>
      </c>
      <c r="C2348" s="250" t="s">
        <v>126</v>
      </c>
      <c r="D2348" s="250" t="s">
        <v>905</v>
      </c>
      <c r="K2348" s="250">
        <v>1</v>
      </c>
      <c r="L2348" s="250">
        <v>80</v>
      </c>
    </row>
    <row r="2349" spans="2:12" ht="15" customHeight="1" x14ac:dyDescent="0.2">
      <c r="B2349" s="250" t="s">
        <v>101</v>
      </c>
      <c r="C2349" s="250" t="s">
        <v>126</v>
      </c>
      <c r="D2349" s="250" t="s">
        <v>100</v>
      </c>
      <c r="K2349" s="250">
        <v>1</v>
      </c>
      <c r="L2349" s="250">
        <v>18</v>
      </c>
    </row>
    <row r="2350" spans="2:12" ht="15" customHeight="1" x14ac:dyDescent="0.2">
      <c r="B2350" s="250" t="s">
        <v>906</v>
      </c>
      <c r="C2350" s="250" t="s">
        <v>126</v>
      </c>
      <c r="D2350" s="250" t="s">
        <v>4292</v>
      </c>
      <c r="K2350" s="250">
        <v>1</v>
      </c>
      <c r="L2350" s="250">
        <v>50</v>
      </c>
    </row>
    <row r="2351" spans="2:12" ht="15" customHeight="1" x14ac:dyDescent="0.2">
      <c r="B2351" s="250" t="s">
        <v>907</v>
      </c>
      <c r="C2351" s="250" t="s">
        <v>126</v>
      </c>
      <c r="D2351" s="250" t="s">
        <v>4292</v>
      </c>
      <c r="K2351" s="250">
        <v>1</v>
      </c>
      <c r="L2351" s="250">
        <v>50</v>
      </c>
    </row>
    <row r="2352" spans="2:12" ht="15" customHeight="1" x14ac:dyDescent="0.2">
      <c r="B2352" s="250" t="s">
        <v>33</v>
      </c>
      <c r="C2352" s="250" t="s">
        <v>126</v>
      </c>
      <c r="D2352" s="250" t="s">
        <v>4293</v>
      </c>
      <c r="K2352" s="250">
        <v>1</v>
      </c>
      <c r="L2352" s="250">
        <v>90</v>
      </c>
    </row>
    <row r="2353" spans="2:12" ht="15" customHeight="1" x14ac:dyDescent="0.2">
      <c r="B2353" s="250" t="s">
        <v>908</v>
      </c>
      <c r="C2353" s="250" t="s">
        <v>126</v>
      </c>
      <c r="D2353" s="250" t="s">
        <v>3970</v>
      </c>
      <c r="K2353" s="250">
        <v>1</v>
      </c>
      <c r="L2353" s="250">
        <v>90</v>
      </c>
    </row>
    <row r="2354" spans="2:12" ht="15" customHeight="1" x14ac:dyDescent="0.2">
      <c r="B2354" s="250" t="s">
        <v>63</v>
      </c>
      <c r="C2354" s="250" t="s">
        <v>126</v>
      </c>
      <c r="D2354" s="250" t="s">
        <v>909</v>
      </c>
      <c r="K2354" s="250">
        <v>1</v>
      </c>
      <c r="L2354" s="250">
        <v>200</v>
      </c>
    </row>
    <row r="2355" spans="2:12" ht="15" customHeight="1" x14ac:dyDescent="0.2">
      <c r="B2355" s="250" t="s">
        <v>910</v>
      </c>
      <c r="C2355" s="250" t="s">
        <v>126</v>
      </c>
      <c r="D2355" s="250" t="s">
        <v>3970</v>
      </c>
      <c r="K2355" s="250">
        <v>1</v>
      </c>
      <c r="L2355" s="250">
        <v>70</v>
      </c>
    </row>
    <row r="2356" spans="2:12" ht="15" customHeight="1" x14ac:dyDescent="0.2">
      <c r="B2356" s="250" t="s">
        <v>911</v>
      </c>
      <c r="C2356" s="250" t="s">
        <v>126</v>
      </c>
      <c r="D2356" s="250" t="s">
        <v>4293</v>
      </c>
      <c r="K2356" s="250">
        <v>1</v>
      </c>
      <c r="L2356" s="250">
        <v>70</v>
      </c>
    </row>
    <row r="2357" spans="2:12" ht="15" customHeight="1" x14ac:dyDescent="0.2">
      <c r="B2357" s="250" t="s">
        <v>912</v>
      </c>
      <c r="C2357" s="250" t="s">
        <v>126</v>
      </c>
      <c r="D2357" s="250" t="s">
        <v>3970</v>
      </c>
      <c r="K2357" s="250">
        <v>1</v>
      </c>
      <c r="L2357" s="250">
        <v>110</v>
      </c>
    </row>
    <row r="2358" spans="2:12" ht="15" customHeight="1" x14ac:dyDescent="0.2">
      <c r="B2358" s="250" t="s">
        <v>913</v>
      </c>
      <c r="C2358" s="250" t="s">
        <v>126</v>
      </c>
      <c r="D2358" s="250" t="s">
        <v>4293</v>
      </c>
      <c r="K2358" s="250">
        <v>1</v>
      </c>
      <c r="L2358" s="250">
        <v>110</v>
      </c>
    </row>
    <row r="2359" spans="2:12" ht="15" customHeight="1" x14ac:dyDescent="0.2">
      <c r="B2359" s="250" t="s">
        <v>914</v>
      </c>
      <c r="C2359" s="250" t="s">
        <v>126</v>
      </c>
      <c r="D2359" s="250" t="s">
        <v>909</v>
      </c>
      <c r="K2359" s="250">
        <v>1</v>
      </c>
      <c r="L2359" s="250">
        <v>220</v>
      </c>
    </row>
    <row r="2360" spans="2:12" ht="15" customHeight="1" x14ac:dyDescent="0.2">
      <c r="B2360" s="250" t="s">
        <v>4131</v>
      </c>
    </row>
    <row r="2361" spans="2:12" ht="15" customHeight="1" x14ac:dyDescent="0.2">
      <c r="B2361" s="250" t="s">
        <v>154</v>
      </c>
      <c r="C2361" s="250" t="s">
        <v>117</v>
      </c>
      <c r="D2361" s="250" t="s">
        <v>116</v>
      </c>
      <c r="K2361" s="250">
        <v>1</v>
      </c>
      <c r="L2361" s="250">
        <v>550</v>
      </c>
    </row>
    <row r="2362" spans="2:12" ht="15" customHeight="1" x14ac:dyDescent="0.2">
      <c r="B2362" s="250" t="s">
        <v>143</v>
      </c>
      <c r="C2362" s="250" t="s">
        <v>117</v>
      </c>
      <c r="D2362" s="250" t="s">
        <v>60</v>
      </c>
      <c r="K2362" s="250">
        <v>1</v>
      </c>
      <c r="L2362" s="250">
        <v>1155</v>
      </c>
    </row>
    <row r="2363" spans="2:12" ht="15" customHeight="1" x14ac:dyDescent="0.2">
      <c r="B2363" s="250" t="s">
        <v>178</v>
      </c>
      <c r="C2363" s="250" t="s">
        <v>117</v>
      </c>
      <c r="D2363" s="250" t="s">
        <v>60</v>
      </c>
      <c r="K2363" s="250">
        <v>1</v>
      </c>
      <c r="L2363" s="250">
        <v>1600</v>
      </c>
    </row>
    <row r="2364" spans="2:12" ht="15" customHeight="1" x14ac:dyDescent="0.2">
      <c r="B2364" s="250" t="s">
        <v>915</v>
      </c>
      <c r="C2364" s="250" t="s">
        <v>117</v>
      </c>
      <c r="D2364" s="250" t="s">
        <v>60</v>
      </c>
      <c r="K2364" s="250">
        <v>1</v>
      </c>
      <c r="L2364" s="250">
        <v>1760</v>
      </c>
    </row>
    <row r="2365" spans="2:12" ht="15" customHeight="1" x14ac:dyDescent="0.2">
      <c r="B2365" s="250" t="s">
        <v>916</v>
      </c>
      <c r="C2365" s="250" t="s">
        <v>117</v>
      </c>
      <c r="D2365" s="250" t="s">
        <v>60</v>
      </c>
      <c r="K2365" s="250">
        <v>1</v>
      </c>
      <c r="L2365" s="250">
        <v>2200</v>
      </c>
    </row>
    <row r="2366" spans="2:12" ht="15" customHeight="1" x14ac:dyDescent="0.2">
      <c r="B2366" s="250" t="s">
        <v>917</v>
      </c>
      <c r="C2366" s="250" t="s">
        <v>117</v>
      </c>
      <c r="D2366" s="250" t="s">
        <v>60</v>
      </c>
      <c r="K2366" s="250">
        <v>1</v>
      </c>
      <c r="L2366" s="250">
        <v>2200</v>
      </c>
    </row>
    <row r="2367" spans="2:12" ht="15" customHeight="1" x14ac:dyDescent="0.2">
      <c r="B2367" s="250" t="s">
        <v>918</v>
      </c>
      <c r="C2367" s="250" t="s">
        <v>117</v>
      </c>
      <c r="D2367" s="250" t="s">
        <v>60</v>
      </c>
      <c r="K2367" s="250">
        <v>1</v>
      </c>
      <c r="L2367" s="250">
        <v>2640</v>
      </c>
    </row>
    <row r="2368" spans="2:12" ht="15" customHeight="1" x14ac:dyDescent="0.2">
      <c r="B2368" s="250" t="s">
        <v>919</v>
      </c>
      <c r="C2368" s="250" t="s">
        <v>117</v>
      </c>
      <c r="D2368" s="250" t="s">
        <v>60</v>
      </c>
      <c r="K2368" s="250">
        <v>1</v>
      </c>
      <c r="L2368" s="250">
        <v>3190</v>
      </c>
    </row>
    <row r="2369" spans="2:12" ht="15" customHeight="1" x14ac:dyDescent="0.2">
      <c r="B2369" s="250" t="s">
        <v>920</v>
      </c>
      <c r="C2369" s="250" t="s">
        <v>117</v>
      </c>
      <c r="D2369" s="250" t="s">
        <v>60</v>
      </c>
      <c r="K2369" s="250">
        <v>1</v>
      </c>
      <c r="L2369" s="250">
        <v>3850</v>
      </c>
    </row>
    <row r="2370" spans="2:12" ht="15" customHeight="1" x14ac:dyDescent="0.2">
      <c r="B2370" s="250" t="s">
        <v>921</v>
      </c>
      <c r="C2370" s="250" t="s">
        <v>117</v>
      </c>
      <c r="D2370" s="250" t="s">
        <v>60</v>
      </c>
      <c r="K2370" s="250">
        <v>1</v>
      </c>
      <c r="L2370" s="250">
        <v>5390</v>
      </c>
    </row>
    <row r="2371" spans="2:12" ht="15" customHeight="1" x14ac:dyDescent="0.2">
      <c r="B2371" s="250" t="s">
        <v>922</v>
      </c>
      <c r="C2371" s="250" t="s">
        <v>117</v>
      </c>
      <c r="D2371" s="250" t="s">
        <v>60</v>
      </c>
      <c r="K2371" s="250">
        <v>1</v>
      </c>
      <c r="L2371" s="250">
        <v>6270</v>
      </c>
    </row>
    <row r="2372" spans="2:12" ht="15" customHeight="1" x14ac:dyDescent="0.2">
      <c r="B2372" s="250" t="s">
        <v>923</v>
      </c>
      <c r="C2372" s="250" t="s">
        <v>117</v>
      </c>
      <c r="D2372" s="250" t="s">
        <v>60</v>
      </c>
      <c r="K2372" s="250">
        <v>1</v>
      </c>
      <c r="L2372" s="250">
        <v>7040</v>
      </c>
    </row>
    <row r="2373" spans="2:12" ht="15" customHeight="1" x14ac:dyDescent="0.2">
      <c r="B2373" s="250" t="s">
        <v>924</v>
      </c>
      <c r="C2373" s="250" t="s">
        <v>117</v>
      </c>
      <c r="D2373" s="250" t="s">
        <v>60</v>
      </c>
      <c r="K2373" s="250">
        <v>1</v>
      </c>
      <c r="L2373" s="250">
        <v>8030</v>
      </c>
    </row>
    <row r="2374" spans="2:12" ht="15" customHeight="1" x14ac:dyDescent="0.2">
      <c r="B2374" s="250" t="s">
        <v>925</v>
      </c>
      <c r="C2374" s="250" t="s">
        <v>117</v>
      </c>
      <c r="D2374" s="250" t="s">
        <v>60</v>
      </c>
      <c r="K2374" s="250">
        <v>1</v>
      </c>
      <c r="L2374" s="250">
        <v>660</v>
      </c>
    </row>
    <row r="2375" spans="2:12" ht="15" customHeight="1" x14ac:dyDescent="0.2">
      <c r="B2375" s="250" t="s">
        <v>926</v>
      </c>
      <c r="C2375" s="250" t="s">
        <v>117</v>
      </c>
      <c r="D2375" s="250" t="s">
        <v>60</v>
      </c>
      <c r="K2375" s="250">
        <v>1</v>
      </c>
      <c r="L2375" s="250">
        <v>935</v>
      </c>
    </row>
    <row r="2376" spans="2:12" ht="15" customHeight="1" x14ac:dyDescent="0.2">
      <c r="B2376" s="250" t="s">
        <v>176</v>
      </c>
      <c r="C2376" s="250" t="s">
        <v>117</v>
      </c>
      <c r="D2376" s="250" t="s">
        <v>60</v>
      </c>
      <c r="K2376" s="250">
        <v>1</v>
      </c>
      <c r="L2376" s="250">
        <v>748</v>
      </c>
    </row>
    <row r="2377" spans="2:12" ht="15" customHeight="1" x14ac:dyDescent="0.2">
      <c r="B2377" s="250" t="s">
        <v>927</v>
      </c>
      <c r="C2377" s="250" t="s">
        <v>117</v>
      </c>
      <c r="D2377" s="250" t="s">
        <v>60</v>
      </c>
      <c r="K2377" s="250">
        <v>1</v>
      </c>
      <c r="L2377" s="250">
        <v>968</v>
      </c>
    </row>
    <row r="2378" spans="2:12" ht="15" customHeight="1" x14ac:dyDescent="0.2">
      <c r="B2378" s="250" t="s">
        <v>928</v>
      </c>
      <c r="C2378" s="250" t="s">
        <v>117</v>
      </c>
      <c r="D2378" s="250" t="s">
        <v>60</v>
      </c>
      <c r="K2378" s="250">
        <v>1</v>
      </c>
      <c r="L2378" s="250">
        <v>1430</v>
      </c>
    </row>
    <row r="2379" spans="2:12" ht="15" customHeight="1" x14ac:dyDescent="0.2">
      <c r="B2379" s="250" t="s">
        <v>929</v>
      </c>
      <c r="C2379" s="250" t="s">
        <v>117</v>
      </c>
      <c r="D2379" s="250" t="s">
        <v>60</v>
      </c>
      <c r="K2379" s="250">
        <v>1</v>
      </c>
      <c r="L2379" s="250">
        <v>1815</v>
      </c>
    </row>
    <row r="2380" spans="2:12" ht="15" customHeight="1" x14ac:dyDescent="0.2">
      <c r="B2380" s="250" t="s">
        <v>930</v>
      </c>
      <c r="C2380" s="250" t="s">
        <v>117</v>
      </c>
      <c r="D2380" s="250" t="s">
        <v>60</v>
      </c>
      <c r="K2380" s="250">
        <v>1</v>
      </c>
      <c r="L2380" s="250">
        <v>1485</v>
      </c>
    </row>
    <row r="2381" spans="2:12" ht="15" customHeight="1" x14ac:dyDescent="0.2">
      <c r="B2381" s="250" t="s">
        <v>931</v>
      </c>
      <c r="C2381" s="250" t="s">
        <v>117</v>
      </c>
      <c r="D2381" s="250" t="s">
        <v>60</v>
      </c>
      <c r="K2381" s="250">
        <v>1</v>
      </c>
      <c r="L2381" s="250">
        <v>2090</v>
      </c>
    </row>
    <row r="2382" spans="2:12" ht="15" customHeight="1" x14ac:dyDescent="0.2">
      <c r="B2382" s="250" t="s">
        <v>4174</v>
      </c>
    </row>
    <row r="2383" spans="2:12" ht="15" customHeight="1" x14ac:dyDescent="0.2">
      <c r="B2383" s="250" t="s">
        <v>4294</v>
      </c>
      <c r="D2383" s="250" t="s">
        <v>932</v>
      </c>
      <c r="K2383" s="250">
        <v>1</v>
      </c>
      <c r="L2383" s="250">
        <v>0.84</v>
      </c>
    </row>
    <row r="2384" spans="2:12" ht="15" customHeight="1" x14ac:dyDescent="0.2">
      <c r="B2384" s="250" t="s">
        <v>4295</v>
      </c>
      <c r="D2384" s="250" t="s">
        <v>932</v>
      </c>
      <c r="K2384" s="250">
        <v>1</v>
      </c>
      <c r="L2384" s="250">
        <v>1.4</v>
      </c>
    </row>
    <row r="2385" spans="1:12" ht="15" customHeight="1" x14ac:dyDescent="0.2">
      <c r="B2385" s="250" t="s">
        <v>4296</v>
      </c>
      <c r="D2385" s="250" t="s">
        <v>932</v>
      </c>
      <c r="K2385" s="250">
        <v>1</v>
      </c>
      <c r="L2385" s="250">
        <v>2.13</v>
      </c>
    </row>
    <row r="2386" spans="1:12" ht="15" customHeight="1" x14ac:dyDescent="0.2">
      <c r="B2386" s="250" t="s">
        <v>4297</v>
      </c>
      <c r="D2386" s="250" t="s">
        <v>932</v>
      </c>
      <c r="K2386" s="250">
        <v>1</v>
      </c>
      <c r="L2386" s="250">
        <v>3.31</v>
      </c>
    </row>
    <row r="2387" spans="1:12" ht="15" customHeight="1" x14ac:dyDescent="0.2">
      <c r="B2387" s="250" t="s">
        <v>4298</v>
      </c>
      <c r="D2387" s="250" t="s">
        <v>932</v>
      </c>
      <c r="K2387" s="250">
        <v>1</v>
      </c>
      <c r="L2387" s="250">
        <v>5.52</v>
      </c>
    </row>
    <row r="2388" spans="1:12" ht="15" customHeight="1" x14ac:dyDescent="0.2">
      <c r="B2388" s="250" t="s">
        <v>2182</v>
      </c>
      <c r="D2388" s="250" t="s">
        <v>932</v>
      </c>
      <c r="K2388" s="250">
        <v>1</v>
      </c>
      <c r="L2388" s="250">
        <v>9.02</v>
      </c>
    </row>
    <row r="2389" spans="1:12" ht="15" customHeight="1" x14ac:dyDescent="0.2">
      <c r="B2389" s="250" t="s">
        <v>2183</v>
      </c>
      <c r="D2389" s="250" t="s">
        <v>932</v>
      </c>
      <c r="K2389" s="250">
        <v>1</v>
      </c>
      <c r="L2389" s="250">
        <v>14.08</v>
      </c>
    </row>
    <row r="2390" spans="1:12" ht="15" customHeight="1" x14ac:dyDescent="0.2">
      <c r="B2390" s="250" t="s">
        <v>2184</v>
      </c>
      <c r="D2390" s="250" t="s">
        <v>932</v>
      </c>
      <c r="K2390" s="250">
        <v>1</v>
      </c>
      <c r="L2390" s="250">
        <v>19.399999999999999</v>
      </c>
    </row>
    <row r="2391" spans="1:12" ht="15" customHeight="1" x14ac:dyDescent="0.2">
      <c r="B2391" s="250" t="s">
        <v>2185</v>
      </c>
      <c r="D2391" s="250" t="s">
        <v>932</v>
      </c>
      <c r="K2391" s="250">
        <v>1</v>
      </c>
      <c r="L2391" s="250">
        <v>27.58</v>
      </c>
    </row>
    <row r="2392" spans="1:12" ht="15" customHeight="1" x14ac:dyDescent="0.2">
      <c r="B2392" s="250" t="s">
        <v>2186</v>
      </c>
      <c r="D2392" s="250" t="s">
        <v>932</v>
      </c>
      <c r="K2392" s="250">
        <v>1</v>
      </c>
      <c r="L2392" s="250">
        <v>38.71</v>
      </c>
    </row>
    <row r="2393" spans="1:12" ht="15" customHeight="1" x14ac:dyDescent="0.2">
      <c r="B2393" s="250" t="s">
        <v>4299</v>
      </c>
      <c r="D2393" s="250" t="s">
        <v>932</v>
      </c>
      <c r="K2393" s="250">
        <v>1</v>
      </c>
      <c r="L2393" s="250">
        <v>52.98</v>
      </c>
    </row>
    <row r="2394" spans="1:12" ht="15" customHeight="1" x14ac:dyDescent="0.2">
      <c r="B2394" s="250" t="s">
        <v>4300</v>
      </c>
      <c r="D2394" s="250" t="s">
        <v>932</v>
      </c>
      <c r="K2394" s="250">
        <v>1</v>
      </c>
      <c r="L2394" s="250">
        <v>66.930000000000007</v>
      </c>
    </row>
    <row r="2395" spans="1:12" ht="15" customHeight="1" x14ac:dyDescent="0.2">
      <c r="B2395" s="250" t="s">
        <v>4301</v>
      </c>
      <c r="D2395" s="250" t="s">
        <v>932</v>
      </c>
      <c r="K2395" s="250">
        <v>1</v>
      </c>
      <c r="L2395" s="250">
        <v>83.7</v>
      </c>
    </row>
    <row r="2396" spans="1:12" ht="15" customHeight="1" x14ac:dyDescent="0.2">
      <c r="B2396" s="250" t="s">
        <v>4174</v>
      </c>
    </row>
    <row r="2397" spans="1:12" ht="15" customHeight="1" x14ac:dyDescent="0.2">
      <c r="A2397" s="252">
        <f>$O$1</f>
        <v>57</v>
      </c>
      <c r="B2397" s="250" t="s">
        <v>933</v>
      </c>
      <c r="C2397" s="250" t="s">
        <v>934</v>
      </c>
      <c r="D2397" s="250" t="s">
        <v>3971</v>
      </c>
      <c r="K2397" s="250">
        <v>1</v>
      </c>
      <c r="L2397" s="249">
        <f>A$2397*0.0089*IF(MID(B2397,6,1)="*",MID(B2397,5,1)*MID(B2397,7,FIND("*",MID(B2397,7,20))-1)*MID(B2397,FIND("*",MID(B2397,7,20))+7,10),MID(B2397,5,FIND("*",B2397)-FIND("-",B2397)-1)*MID(B2397,FIND("*",B2397)+1,10))</f>
        <v>15.218999999999999</v>
      </c>
    </row>
    <row r="2398" spans="1:12" ht="15" customHeight="1" x14ac:dyDescent="0.2">
      <c r="B2398" s="250" t="s">
        <v>189</v>
      </c>
      <c r="C2398" s="250" t="s">
        <v>934</v>
      </c>
      <c r="D2398" s="250" t="s">
        <v>4302</v>
      </c>
      <c r="K2398" s="250">
        <v>1</v>
      </c>
      <c r="L2398" s="249">
        <f t="shared" ref="L2398:L2462" si="5">A$2397*0.0089*IF(MID(B2398,6,1)="*",MID(B2398,5,1)*MID(B2398,7,FIND("*",MID(B2398,7,20))-1)*MID(B2398,FIND("*",MID(B2398,7,20))+7,10),MID(B2398,5,FIND("*",B2398)-FIND("-",B2398)-1)*MID(B2398,FIND("*",B2398)+1,10))</f>
        <v>22.828499999999998</v>
      </c>
    </row>
    <row r="2399" spans="1:12" ht="15" customHeight="1" x14ac:dyDescent="0.2">
      <c r="B2399" s="250" t="s">
        <v>4303</v>
      </c>
      <c r="C2399" s="250" t="s">
        <v>934</v>
      </c>
      <c r="D2399" s="250" t="s">
        <v>3971</v>
      </c>
      <c r="K2399" s="250">
        <v>1</v>
      </c>
      <c r="L2399" s="249">
        <f t="shared" si="5"/>
        <v>30.437999999999999</v>
      </c>
    </row>
    <row r="2400" spans="1:12" ht="15" customHeight="1" x14ac:dyDescent="0.2">
      <c r="B2400" s="250" t="s">
        <v>203</v>
      </c>
      <c r="C2400" s="250" t="s">
        <v>934</v>
      </c>
      <c r="D2400" s="250" t="s">
        <v>4302</v>
      </c>
      <c r="K2400" s="250">
        <v>1</v>
      </c>
      <c r="L2400" s="249">
        <f t="shared" si="5"/>
        <v>30.437999999999999</v>
      </c>
    </row>
    <row r="2401" spans="2:12" ht="15" customHeight="1" x14ac:dyDescent="0.2">
      <c r="B2401" s="250" t="s">
        <v>935</v>
      </c>
      <c r="C2401" s="250" t="s">
        <v>934</v>
      </c>
      <c r="D2401" s="250" t="s">
        <v>3971</v>
      </c>
      <c r="K2401" s="250">
        <v>1</v>
      </c>
      <c r="L2401" s="249">
        <f t="shared" si="5"/>
        <v>40.583999999999996</v>
      </c>
    </row>
    <row r="2402" spans="2:12" ht="15" customHeight="1" x14ac:dyDescent="0.2">
      <c r="B2402" s="250" t="s">
        <v>4304</v>
      </c>
      <c r="C2402" s="250" t="s">
        <v>934</v>
      </c>
      <c r="D2402" s="250" t="s">
        <v>4302</v>
      </c>
      <c r="K2402" s="250">
        <v>1</v>
      </c>
      <c r="L2402" s="249">
        <f t="shared" si="5"/>
        <v>50.73</v>
      </c>
    </row>
    <row r="2403" spans="2:12" ht="15" customHeight="1" x14ac:dyDescent="0.2">
      <c r="B2403" s="250" t="s">
        <v>41</v>
      </c>
      <c r="C2403" s="250" t="s">
        <v>934</v>
      </c>
      <c r="D2403" s="250" t="s">
        <v>3971</v>
      </c>
      <c r="K2403" s="250">
        <v>1</v>
      </c>
      <c r="L2403" s="249">
        <f t="shared" si="5"/>
        <v>38.047499999999999</v>
      </c>
    </row>
    <row r="2404" spans="2:12" ht="15" customHeight="1" x14ac:dyDescent="0.2">
      <c r="B2404" s="250" t="s">
        <v>238</v>
      </c>
      <c r="C2404" s="250" t="s">
        <v>934</v>
      </c>
      <c r="D2404" s="250" t="s">
        <v>4302</v>
      </c>
      <c r="K2404" s="250">
        <v>1</v>
      </c>
      <c r="L2404" s="249">
        <f t="shared" si="5"/>
        <v>50.73</v>
      </c>
    </row>
    <row r="2405" spans="2:12" ht="15" customHeight="1" x14ac:dyDescent="0.2">
      <c r="B2405" s="250" t="s">
        <v>936</v>
      </c>
      <c r="C2405" s="250" t="s">
        <v>934</v>
      </c>
      <c r="D2405" s="250" t="s">
        <v>3971</v>
      </c>
      <c r="K2405" s="250">
        <v>1</v>
      </c>
      <c r="L2405" s="249">
        <f t="shared" si="5"/>
        <v>63.412499999999994</v>
      </c>
    </row>
    <row r="2406" spans="2:12" ht="15" customHeight="1" x14ac:dyDescent="0.2">
      <c r="B2406" s="250" t="s">
        <v>3972</v>
      </c>
      <c r="C2406" s="250" t="s">
        <v>934</v>
      </c>
      <c r="D2406" s="250" t="s">
        <v>3971</v>
      </c>
      <c r="K2406" s="250">
        <v>1</v>
      </c>
      <c r="L2406" s="249">
        <f t="shared" si="5"/>
        <v>76.094999999999999</v>
      </c>
    </row>
    <row r="2407" spans="2:12" ht="15" customHeight="1" x14ac:dyDescent="0.2">
      <c r="B2407" s="250" t="s">
        <v>4305</v>
      </c>
      <c r="C2407" s="250" t="s">
        <v>934</v>
      </c>
      <c r="D2407" s="250" t="s">
        <v>3971</v>
      </c>
      <c r="K2407" s="250">
        <v>1</v>
      </c>
      <c r="L2407" s="249">
        <f t="shared" si="5"/>
        <v>126.82499999999999</v>
      </c>
    </row>
    <row r="2408" spans="2:12" ht="15" customHeight="1" x14ac:dyDescent="0.2">
      <c r="B2408" s="250" t="s">
        <v>177</v>
      </c>
      <c r="C2408" s="250" t="s">
        <v>934</v>
      </c>
      <c r="D2408" s="250" t="s">
        <v>3971</v>
      </c>
      <c r="K2408" s="250">
        <v>1</v>
      </c>
      <c r="L2408" s="249">
        <f t="shared" si="5"/>
        <v>45.656999999999996</v>
      </c>
    </row>
    <row r="2409" spans="2:12" ht="15" customHeight="1" x14ac:dyDescent="0.2">
      <c r="B2409" s="250" t="s">
        <v>200</v>
      </c>
      <c r="C2409" s="250" t="s">
        <v>934</v>
      </c>
      <c r="D2409" s="250" t="s">
        <v>4302</v>
      </c>
      <c r="K2409" s="250">
        <v>1</v>
      </c>
      <c r="L2409" s="249">
        <f t="shared" si="5"/>
        <v>60.875999999999998</v>
      </c>
    </row>
    <row r="2410" spans="2:12" ht="15" customHeight="1" x14ac:dyDescent="0.2">
      <c r="B2410" s="250" t="s">
        <v>40</v>
      </c>
      <c r="C2410" s="250" t="s">
        <v>934</v>
      </c>
      <c r="D2410" s="250" t="s">
        <v>3971</v>
      </c>
      <c r="K2410" s="250">
        <v>1</v>
      </c>
      <c r="L2410" s="249">
        <f t="shared" si="5"/>
        <v>76.094999999999999</v>
      </c>
    </row>
    <row r="2411" spans="2:12" ht="15" customHeight="1" x14ac:dyDescent="0.2">
      <c r="B2411" s="250" t="s">
        <v>937</v>
      </c>
      <c r="C2411" s="250" t="s">
        <v>934</v>
      </c>
      <c r="D2411" s="250" t="s">
        <v>4302</v>
      </c>
      <c r="K2411" s="250">
        <v>1</v>
      </c>
      <c r="L2411" s="249">
        <f t="shared" si="5"/>
        <v>91.313999999999993</v>
      </c>
    </row>
    <row r="2412" spans="2:12" ht="15" customHeight="1" x14ac:dyDescent="0.2">
      <c r="B2412" s="250" t="s">
        <v>938</v>
      </c>
      <c r="C2412" s="250" t="s">
        <v>934</v>
      </c>
      <c r="D2412" s="250" t="s">
        <v>4302</v>
      </c>
      <c r="K2412" s="250">
        <v>1</v>
      </c>
      <c r="L2412" s="249">
        <f t="shared" si="5"/>
        <v>121.752</v>
      </c>
    </row>
    <row r="2413" spans="2:12" ht="15" customHeight="1" x14ac:dyDescent="0.2">
      <c r="B2413" s="250" t="s">
        <v>939</v>
      </c>
      <c r="C2413" s="250" t="s">
        <v>934</v>
      </c>
      <c r="D2413" s="250" t="s">
        <v>4302</v>
      </c>
      <c r="K2413" s="250">
        <v>1</v>
      </c>
      <c r="L2413" s="249">
        <f t="shared" si="5"/>
        <v>152.19</v>
      </c>
    </row>
    <row r="2414" spans="2:12" ht="15" customHeight="1" x14ac:dyDescent="0.2">
      <c r="B2414" s="250" t="s">
        <v>139</v>
      </c>
      <c r="C2414" s="250" t="s">
        <v>934</v>
      </c>
      <c r="D2414" s="250" t="s">
        <v>4302</v>
      </c>
      <c r="K2414" s="250">
        <v>1</v>
      </c>
      <c r="L2414" s="249">
        <f t="shared" si="5"/>
        <v>81.167999999999992</v>
      </c>
    </row>
    <row r="2415" spans="2:12" ht="15" customHeight="1" x14ac:dyDescent="0.2">
      <c r="B2415" s="250" t="s">
        <v>940</v>
      </c>
      <c r="C2415" s="250" t="s">
        <v>934</v>
      </c>
      <c r="D2415" s="250" t="s">
        <v>3971</v>
      </c>
      <c r="K2415" s="250">
        <v>1</v>
      </c>
      <c r="L2415" s="249">
        <f t="shared" si="5"/>
        <v>101.46</v>
      </c>
    </row>
    <row r="2416" spans="2:12" ht="15" customHeight="1" x14ac:dyDescent="0.2">
      <c r="B2416" s="250" t="s">
        <v>205</v>
      </c>
      <c r="C2416" s="250" t="s">
        <v>934</v>
      </c>
      <c r="D2416" s="250" t="s">
        <v>4302</v>
      </c>
      <c r="K2416" s="250">
        <v>1</v>
      </c>
      <c r="L2416" s="249">
        <f t="shared" si="5"/>
        <v>121.752</v>
      </c>
    </row>
    <row r="2417" spans="2:12" ht="15" customHeight="1" x14ac:dyDescent="0.2">
      <c r="B2417" s="250" t="s">
        <v>941</v>
      </c>
      <c r="C2417" s="250" t="s">
        <v>934</v>
      </c>
      <c r="D2417" s="250" t="s">
        <v>3971</v>
      </c>
      <c r="K2417" s="250">
        <v>1</v>
      </c>
      <c r="L2417" s="249">
        <f t="shared" si="5"/>
        <v>162.33599999999998</v>
      </c>
    </row>
    <row r="2418" spans="2:12" ht="15" customHeight="1" x14ac:dyDescent="0.2">
      <c r="B2418" s="250" t="s">
        <v>4306</v>
      </c>
      <c r="C2418" s="250" t="s">
        <v>934</v>
      </c>
      <c r="D2418" s="250" t="s">
        <v>4302</v>
      </c>
      <c r="K2418" s="250">
        <v>1</v>
      </c>
      <c r="L2418" s="249">
        <f t="shared" si="5"/>
        <v>202.92</v>
      </c>
    </row>
    <row r="2419" spans="2:12" ht="15" customHeight="1" x14ac:dyDescent="0.2">
      <c r="B2419" s="250" t="s">
        <v>942</v>
      </c>
      <c r="C2419" s="250" t="s">
        <v>934</v>
      </c>
      <c r="D2419" s="250" t="s">
        <v>3971</v>
      </c>
      <c r="K2419" s="250">
        <v>1</v>
      </c>
      <c r="L2419" s="249">
        <f t="shared" si="5"/>
        <v>101.46</v>
      </c>
    </row>
    <row r="2420" spans="2:12" ht="15" customHeight="1" x14ac:dyDescent="0.2">
      <c r="B2420" s="250" t="s">
        <v>56</v>
      </c>
      <c r="C2420" s="250" t="s">
        <v>934</v>
      </c>
      <c r="D2420" s="250" t="s">
        <v>3971</v>
      </c>
      <c r="K2420" s="250">
        <v>1</v>
      </c>
      <c r="L2420" s="249">
        <f t="shared" si="5"/>
        <v>126.82499999999999</v>
      </c>
    </row>
    <row r="2421" spans="2:12" ht="15" customHeight="1" x14ac:dyDescent="0.2">
      <c r="B2421" s="250" t="s">
        <v>234</v>
      </c>
      <c r="C2421" s="250" t="s">
        <v>934</v>
      </c>
      <c r="D2421" s="250" t="s">
        <v>3971</v>
      </c>
      <c r="K2421" s="250">
        <v>1</v>
      </c>
      <c r="L2421" s="249">
        <f t="shared" si="5"/>
        <v>152.19</v>
      </c>
    </row>
    <row r="2422" spans="2:12" ht="15" customHeight="1" x14ac:dyDescent="0.2">
      <c r="B2422" s="250" t="s">
        <v>943</v>
      </c>
      <c r="C2422" s="250" t="s">
        <v>934</v>
      </c>
      <c r="D2422" s="250" t="s">
        <v>3971</v>
      </c>
      <c r="K2422" s="250">
        <v>1</v>
      </c>
      <c r="L2422" s="249">
        <f t="shared" si="5"/>
        <v>202.92</v>
      </c>
    </row>
    <row r="2423" spans="2:12" ht="15" customHeight="1" x14ac:dyDescent="0.2">
      <c r="B2423" s="250" t="s">
        <v>944</v>
      </c>
      <c r="C2423" s="250" t="s">
        <v>934</v>
      </c>
      <c r="D2423" s="250" t="s">
        <v>3971</v>
      </c>
      <c r="K2423" s="250">
        <v>1</v>
      </c>
      <c r="L2423" s="249">
        <f t="shared" si="5"/>
        <v>253.64999999999998</v>
      </c>
    </row>
    <row r="2424" spans="2:12" ht="15" customHeight="1" x14ac:dyDescent="0.2">
      <c r="B2424" s="250" t="s">
        <v>945</v>
      </c>
      <c r="C2424" s="250" t="s">
        <v>934</v>
      </c>
      <c r="D2424" s="250" t="s">
        <v>3971</v>
      </c>
      <c r="K2424" s="250">
        <v>1</v>
      </c>
      <c r="L2424" s="249">
        <f t="shared" si="5"/>
        <v>121.752</v>
      </c>
    </row>
    <row r="2425" spans="2:12" ht="15" customHeight="1" x14ac:dyDescent="0.2">
      <c r="B2425" s="250" t="s">
        <v>946</v>
      </c>
      <c r="C2425" s="250" t="s">
        <v>934</v>
      </c>
      <c r="D2425" s="250" t="s">
        <v>3971</v>
      </c>
      <c r="K2425" s="250">
        <v>1</v>
      </c>
      <c r="L2425" s="249">
        <f t="shared" si="5"/>
        <v>152.19</v>
      </c>
    </row>
    <row r="2426" spans="2:12" ht="15" customHeight="1" x14ac:dyDescent="0.2">
      <c r="B2426" s="250" t="s">
        <v>112</v>
      </c>
      <c r="C2426" s="250" t="s">
        <v>934</v>
      </c>
      <c r="D2426" s="250" t="s">
        <v>4302</v>
      </c>
      <c r="K2426" s="250">
        <v>1</v>
      </c>
      <c r="L2426" s="249">
        <f t="shared" si="5"/>
        <v>182.62799999999999</v>
      </c>
    </row>
    <row r="2427" spans="2:12" ht="15" customHeight="1" x14ac:dyDescent="0.2">
      <c r="B2427" s="250" t="s">
        <v>72</v>
      </c>
      <c r="C2427" s="250" t="s">
        <v>934</v>
      </c>
      <c r="D2427" s="250" t="s">
        <v>4302</v>
      </c>
      <c r="K2427" s="250">
        <v>1</v>
      </c>
      <c r="L2427" s="249">
        <f t="shared" si="5"/>
        <v>243.50399999999999</v>
      </c>
    </row>
    <row r="2428" spans="2:12" ht="15" customHeight="1" x14ac:dyDescent="0.2">
      <c r="B2428" s="250" t="s">
        <v>947</v>
      </c>
      <c r="C2428" s="250" t="s">
        <v>934</v>
      </c>
      <c r="D2428" s="250" t="s">
        <v>4302</v>
      </c>
      <c r="K2428" s="250">
        <v>1</v>
      </c>
      <c r="L2428" s="249">
        <f t="shared" si="5"/>
        <v>304.38</v>
      </c>
    </row>
    <row r="2429" spans="2:12" ht="15" customHeight="1" x14ac:dyDescent="0.2">
      <c r="B2429" s="250" t="s">
        <v>188</v>
      </c>
      <c r="C2429" s="250" t="s">
        <v>934</v>
      </c>
      <c r="D2429" s="250" t="s">
        <v>3971</v>
      </c>
      <c r="K2429" s="250">
        <v>1</v>
      </c>
      <c r="L2429" s="249">
        <f t="shared" si="5"/>
        <v>243.50399999999999</v>
      </c>
    </row>
    <row r="2430" spans="2:12" ht="15" customHeight="1" x14ac:dyDescent="0.2">
      <c r="B2430" s="250" t="s">
        <v>46</v>
      </c>
      <c r="C2430" s="250" t="s">
        <v>934</v>
      </c>
      <c r="D2430" s="250" t="s">
        <v>3971</v>
      </c>
      <c r="K2430" s="250">
        <v>1</v>
      </c>
      <c r="L2430" s="249">
        <f t="shared" si="5"/>
        <v>324.67199999999997</v>
      </c>
    </row>
    <row r="2431" spans="2:12" ht="15" customHeight="1" x14ac:dyDescent="0.2">
      <c r="B2431" s="250" t="s">
        <v>948</v>
      </c>
      <c r="C2431" s="250" t="s">
        <v>934</v>
      </c>
      <c r="D2431" s="250" t="s">
        <v>3971</v>
      </c>
      <c r="K2431" s="250">
        <v>1</v>
      </c>
      <c r="L2431" s="249">
        <f t="shared" si="5"/>
        <v>405.84</v>
      </c>
    </row>
    <row r="2432" spans="2:12" ht="15" customHeight="1" x14ac:dyDescent="0.2">
      <c r="B2432" s="250" t="s">
        <v>36</v>
      </c>
      <c r="C2432" s="250" t="s">
        <v>934</v>
      </c>
      <c r="D2432" s="250" t="s">
        <v>3971</v>
      </c>
      <c r="K2432" s="250">
        <v>1</v>
      </c>
      <c r="L2432" s="249">
        <f t="shared" si="5"/>
        <v>304.38</v>
      </c>
    </row>
    <row r="2433" spans="1:15" ht="15" customHeight="1" x14ac:dyDescent="0.2">
      <c r="B2433" s="250" t="s">
        <v>223</v>
      </c>
      <c r="C2433" s="250" t="s">
        <v>934</v>
      </c>
      <c r="D2433" s="250" t="s">
        <v>3971</v>
      </c>
      <c r="K2433" s="250">
        <v>1</v>
      </c>
      <c r="L2433" s="249">
        <f t="shared" si="5"/>
        <v>405.84</v>
      </c>
    </row>
    <row r="2434" spans="1:15" ht="15" customHeight="1" x14ac:dyDescent="0.2">
      <c r="B2434" s="250" t="s">
        <v>71</v>
      </c>
      <c r="C2434" s="250" t="s">
        <v>934</v>
      </c>
      <c r="D2434" s="250" t="s">
        <v>4302</v>
      </c>
      <c r="K2434" s="250">
        <v>1</v>
      </c>
      <c r="L2434" s="249">
        <f t="shared" si="5"/>
        <v>507.29999999999995</v>
      </c>
    </row>
    <row r="2435" spans="1:15" ht="15" customHeight="1" x14ac:dyDescent="0.2">
      <c r="B2435" s="250" t="s">
        <v>221</v>
      </c>
      <c r="C2435" s="250" t="s">
        <v>934</v>
      </c>
      <c r="D2435" s="250" t="s">
        <v>4302</v>
      </c>
      <c r="K2435" s="250">
        <v>1</v>
      </c>
      <c r="L2435" s="249">
        <f t="shared" si="5"/>
        <v>365.25599999999997</v>
      </c>
    </row>
    <row r="2436" spans="1:15" ht="15" customHeight="1" x14ac:dyDescent="0.2">
      <c r="B2436" s="250" t="s">
        <v>949</v>
      </c>
      <c r="C2436" s="250" t="s">
        <v>934</v>
      </c>
      <c r="D2436" s="250" t="s">
        <v>3971</v>
      </c>
      <c r="K2436" s="250">
        <v>1</v>
      </c>
      <c r="L2436" s="249">
        <f t="shared" si="5"/>
        <v>487.00799999999998</v>
      </c>
    </row>
    <row r="2437" spans="1:15" ht="15" customHeight="1" x14ac:dyDescent="0.2">
      <c r="B2437" s="250" t="s">
        <v>950</v>
      </c>
      <c r="C2437" s="250" t="s">
        <v>934</v>
      </c>
      <c r="D2437" s="250" t="s">
        <v>3971</v>
      </c>
      <c r="K2437" s="250">
        <v>1</v>
      </c>
      <c r="L2437" s="249">
        <f t="shared" si="5"/>
        <v>608.76</v>
      </c>
    </row>
    <row r="2438" spans="1:15" ht="15" customHeight="1" x14ac:dyDescent="0.2">
      <c r="B2438" s="250" t="s">
        <v>951</v>
      </c>
      <c r="C2438" s="250" t="s">
        <v>934</v>
      </c>
      <c r="D2438" s="250" t="s">
        <v>3971</v>
      </c>
      <c r="K2438" s="250">
        <v>1</v>
      </c>
      <c r="L2438" s="249">
        <f t="shared" si="5"/>
        <v>507.29999999999995</v>
      </c>
    </row>
    <row r="2439" spans="1:15" ht="15" customHeight="1" x14ac:dyDescent="0.2">
      <c r="B2439" s="250" t="s">
        <v>43</v>
      </c>
      <c r="C2439" s="250" t="s">
        <v>934</v>
      </c>
      <c r="D2439" s="250" t="s">
        <v>3971</v>
      </c>
      <c r="K2439" s="250">
        <v>1</v>
      </c>
      <c r="L2439" s="249">
        <f t="shared" si="5"/>
        <v>634.125</v>
      </c>
    </row>
    <row r="2440" spans="1:15" ht="15" customHeight="1" x14ac:dyDescent="0.2">
      <c r="B2440" s="250" t="s">
        <v>952</v>
      </c>
      <c r="C2440" s="250" t="s">
        <v>934</v>
      </c>
      <c r="D2440" s="250" t="s">
        <v>3971</v>
      </c>
      <c r="K2440" s="250">
        <v>1</v>
      </c>
      <c r="L2440" s="249">
        <f t="shared" si="5"/>
        <v>760.94999999999993</v>
      </c>
    </row>
    <row r="2441" spans="1:15" ht="15" customHeight="1" x14ac:dyDescent="0.2">
      <c r="A2441" s="248"/>
      <c r="B2441" s="249" t="s">
        <v>953</v>
      </c>
      <c r="C2441" s="249" t="s">
        <v>934</v>
      </c>
      <c r="D2441" s="250" t="s">
        <v>4302</v>
      </c>
      <c r="E2441" s="249"/>
      <c r="F2441" s="249"/>
      <c r="G2441" s="249"/>
      <c r="H2441" s="249"/>
      <c r="I2441" s="249"/>
      <c r="J2441" s="249"/>
      <c r="K2441" s="250">
        <v>1</v>
      </c>
      <c r="L2441" s="249">
        <f t="shared" si="5"/>
        <v>456.57</v>
      </c>
      <c r="M2441" s="249"/>
      <c r="N2441" s="249"/>
      <c r="O2441" s="249"/>
    </row>
    <row r="2442" spans="1:15" ht="15" customHeight="1" x14ac:dyDescent="0.2">
      <c r="A2442" s="248"/>
      <c r="B2442" s="249" t="s">
        <v>4307</v>
      </c>
      <c r="C2442" s="249" t="s">
        <v>934</v>
      </c>
      <c r="D2442" s="250" t="s">
        <v>3971</v>
      </c>
      <c r="E2442" s="249"/>
      <c r="F2442" s="249"/>
      <c r="G2442" s="249"/>
      <c r="H2442" s="249"/>
      <c r="I2442" s="249"/>
      <c r="J2442" s="249"/>
      <c r="K2442" s="250">
        <v>1</v>
      </c>
      <c r="L2442" s="249">
        <f t="shared" si="5"/>
        <v>760.94999999999993</v>
      </c>
      <c r="M2442" s="249"/>
      <c r="N2442" s="249"/>
      <c r="O2442" s="249"/>
    </row>
    <row r="2443" spans="1:15" ht="15" customHeight="1" x14ac:dyDescent="0.2">
      <c r="A2443" s="276" t="s">
        <v>4308</v>
      </c>
      <c r="B2443" s="249" t="s">
        <v>4309</v>
      </c>
      <c r="C2443" s="249" t="s">
        <v>934</v>
      </c>
      <c r="D2443" s="250" t="s">
        <v>3971</v>
      </c>
      <c r="E2443" s="249"/>
      <c r="F2443" s="249"/>
      <c r="G2443" s="249"/>
      <c r="H2443" s="249"/>
      <c r="I2443" s="249"/>
      <c r="J2443" s="249"/>
      <c r="K2443" s="250">
        <v>1</v>
      </c>
      <c r="L2443" s="249">
        <f t="shared" si="5"/>
        <v>365.25599999999997</v>
      </c>
      <c r="M2443" s="249"/>
      <c r="N2443" s="249"/>
      <c r="O2443" s="249"/>
    </row>
    <row r="2444" spans="1:15" ht="15" customHeight="1" x14ac:dyDescent="0.2">
      <c r="B2444" s="250" t="s">
        <v>2187</v>
      </c>
      <c r="C2444" s="250" t="s">
        <v>934</v>
      </c>
      <c r="D2444" s="250" t="s">
        <v>4302</v>
      </c>
      <c r="K2444" s="250">
        <v>1</v>
      </c>
      <c r="L2444" s="249">
        <f t="shared" si="5"/>
        <v>487.00799999999998</v>
      </c>
    </row>
    <row r="2445" spans="1:15" ht="15" customHeight="1" x14ac:dyDescent="0.2">
      <c r="B2445" s="250" t="s">
        <v>2188</v>
      </c>
      <c r="C2445" s="250" t="s">
        <v>934</v>
      </c>
      <c r="D2445" s="250" t="s">
        <v>3971</v>
      </c>
      <c r="K2445" s="250">
        <v>1</v>
      </c>
      <c r="L2445" s="249">
        <f t="shared" si="5"/>
        <v>608.76</v>
      </c>
    </row>
    <row r="2446" spans="1:15" ht="15" customHeight="1" x14ac:dyDescent="0.2">
      <c r="B2446" s="250" t="s">
        <v>4310</v>
      </c>
      <c r="C2446" s="250" t="s">
        <v>934</v>
      </c>
      <c r="D2446" s="250" t="s">
        <v>4302</v>
      </c>
      <c r="K2446" s="250">
        <v>1</v>
      </c>
      <c r="L2446" s="249">
        <f t="shared" si="5"/>
        <v>730.51199999999994</v>
      </c>
    </row>
    <row r="2447" spans="1:15" ht="15" customHeight="1" x14ac:dyDescent="0.2">
      <c r="B2447" s="250" t="s">
        <v>2189</v>
      </c>
      <c r="C2447" s="250" t="s">
        <v>934</v>
      </c>
      <c r="D2447" s="250" t="s">
        <v>3971</v>
      </c>
      <c r="K2447" s="250">
        <v>1</v>
      </c>
      <c r="L2447" s="249">
        <f t="shared" si="5"/>
        <v>487.00799999999998</v>
      </c>
    </row>
    <row r="2448" spans="1:15" ht="15" customHeight="1" x14ac:dyDescent="0.2">
      <c r="B2448" s="250" t="s">
        <v>2190</v>
      </c>
      <c r="C2448" s="250" t="s">
        <v>934</v>
      </c>
      <c r="D2448" s="250" t="s">
        <v>4302</v>
      </c>
      <c r="K2448" s="250">
        <v>1</v>
      </c>
      <c r="L2448" s="249">
        <f t="shared" si="5"/>
        <v>649.34399999999994</v>
      </c>
    </row>
    <row r="2449" spans="1:12" ht="15" customHeight="1" x14ac:dyDescent="0.2">
      <c r="B2449" s="250" t="s">
        <v>2191</v>
      </c>
      <c r="C2449" s="250" t="s">
        <v>934</v>
      </c>
      <c r="D2449" s="250" t="s">
        <v>4302</v>
      </c>
      <c r="K2449" s="250">
        <v>1</v>
      </c>
      <c r="L2449" s="249">
        <f t="shared" si="5"/>
        <v>811.68</v>
      </c>
    </row>
    <row r="2450" spans="1:12" ht="15" customHeight="1" x14ac:dyDescent="0.2">
      <c r="B2450" s="250" t="s">
        <v>2192</v>
      </c>
      <c r="C2450" s="250" t="s">
        <v>934</v>
      </c>
      <c r="D2450" s="250" t="s">
        <v>3971</v>
      </c>
      <c r="K2450" s="250">
        <v>1</v>
      </c>
      <c r="L2450" s="249">
        <f t="shared" si="5"/>
        <v>608.76</v>
      </c>
    </row>
    <row r="2451" spans="1:12" ht="15" customHeight="1" x14ac:dyDescent="0.2">
      <c r="B2451" s="250" t="s">
        <v>2193</v>
      </c>
      <c r="C2451" s="250" t="s">
        <v>934</v>
      </c>
      <c r="D2451" s="250" t="s">
        <v>3971</v>
      </c>
      <c r="K2451" s="250">
        <v>1</v>
      </c>
      <c r="L2451" s="249">
        <f t="shared" si="5"/>
        <v>811.68</v>
      </c>
    </row>
    <row r="2452" spans="1:12" ht="15" customHeight="1" x14ac:dyDescent="0.2">
      <c r="B2452" s="250" t="s">
        <v>2194</v>
      </c>
      <c r="C2452" s="250" t="s">
        <v>934</v>
      </c>
      <c r="D2452" s="250" t="s">
        <v>3971</v>
      </c>
      <c r="K2452" s="250">
        <v>1</v>
      </c>
      <c r="L2452" s="249">
        <f t="shared" si="5"/>
        <v>1014.5999999999999</v>
      </c>
    </row>
    <row r="2453" spans="1:12" ht="15" customHeight="1" x14ac:dyDescent="0.2">
      <c r="B2453" s="250" t="s">
        <v>2195</v>
      </c>
      <c r="C2453" s="250" t="s">
        <v>934</v>
      </c>
      <c r="D2453" s="250" t="s">
        <v>4302</v>
      </c>
      <c r="K2453" s="250">
        <v>1</v>
      </c>
      <c r="L2453" s="249">
        <f t="shared" si="5"/>
        <v>730.51199999999994</v>
      </c>
    </row>
    <row r="2454" spans="1:12" ht="15" customHeight="1" x14ac:dyDescent="0.2">
      <c r="B2454" s="250" t="s">
        <v>2196</v>
      </c>
      <c r="C2454" s="250" t="s">
        <v>934</v>
      </c>
      <c r="D2454" s="250" t="s">
        <v>3971</v>
      </c>
      <c r="K2454" s="250">
        <v>1</v>
      </c>
      <c r="L2454" s="249">
        <f t="shared" si="5"/>
        <v>974.01599999999996</v>
      </c>
    </row>
    <row r="2455" spans="1:12" ht="15" customHeight="1" x14ac:dyDescent="0.2">
      <c r="B2455" s="250" t="s">
        <v>2197</v>
      </c>
      <c r="C2455" s="250" t="s">
        <v>934</v>
      </c>
      <c r="D2455" s="250" t="s">
        <v>3971</v>
      </c>
      <c r="K2455" s="250">
        <v>1</v>
      </c>
      <c r="L2455" s="249">
        <f t="shared" si="5"/>
        <v>1217.52</v>
      </c>
    </row>
    <row r="2456" spans="1:12" ht="15" customHeight="1" x14ac:dyDescent="0.2">
      <c r="B2456" s="250" t="s">
        <v>2198</v>
      </c>
      <c r="C2456" s="250" t="s">
        <v>934</v>
      </c>
      <c r="D2456" s="250" t="s">
        <v>3971</v>
      </c>
      <c r="K2456" s="250">
        <v>1</v>
      </c>
      <c r="L2456" s="249">
        <f t="shared" si="5"/>
        <v>1014.5999999999999</v>
      </c>
    </row>
    <row r="2457" spans="1:12" ht="15" customHeight="1" x14ac:dyDescent="0.2">
      <c r="B2457" s="250" t="s">
        <v>2199</v>
      </c>
      <c r="C2457" s="250" t="s">
        <v>934</v>
      </c>
      <c r="D2457" s="250" t="s">
        <v>3971</v>
      </c>
      <c r="K2457" s="250">
        <v>1</v>
      </c>
      <c r="L2457" s="249">
        <f t="shared" si="5"/>
        <v>1268.25</v>
      </c>
    </row>
    <row r="2458" spans="1:12" ht="15" customHeight="1" x14ac:dyDescent="0.2">
      <c r="B2458" s="250" t="s">
        <v>2200</v>
      </c>
      <c r="C2458" s="250" t="s">
        <v>934</v>
      </c>
      <c r="D2458" s="250" t="s">
        <v>4302</v>
      </c>
      <c r="K2458" s="250">
        <v>1</v>
      </c>
      <c r="L2458" s="249">
        <f t="shared" si="5"/>
        <v>1521.8999999999999</v>
      </c>
    </row>
    <row r="2459" spans="1:12" ht="15" customHeight="1" x14ac:dyDescent="0.2">
      <c r="B2459" s="250" t="s">
        <v>2201</v>
      </c>
      <c r="C2459" s="250" t="s">
        <v>934</v>
      </c>
      <c r="D2459" s="250" t="s">
        <v>4302</v>
      </c>
      <c r="K2459" s="250">
        <v>1</v>
      </c>
      <c r="L2459" s="249">
        <f t="shared" si="5"/>
        <v>913.14</v>
      </c>
    </row>
    <row r="2460" spans="1:12" ht="15" customHeight="1" x14ac:dyDescent="0.2">
      <c r="B2460" s="250" t="s">
        <v>2202</v>
      </c>
      <c r="C2460" s="250" t="s">
        <v>934</v>
      </c>
      <c r="D2460" s="250" t="s">
        <v>3971</v>
      </c>
      <c r="K2460" s="250">
        <v>1</v>
      </c>
      <c r="L2460" s="249">
        <f t="shared" si="5"/>
        <v>1521.8999999999999</v>
      </c>
    </row>
    <row r="2461" spans="1:12" ht="15" customHeight="1" x14ac:dyDescent="0.2">
      <c r="B2461" s="250" t="s">
        <v>4311</v>
      </c>
      <c r="C2461" s="250" t="s">
        <v>934</v>
      </c>
      <c r="D2461" s="250" t="s">
        <v>4302</v>
      </c>
      <c r="K2461" s="250">
        <v>1</v>
      </c>
      <c r="L2461" s="249">
        <f t="shared" si="5"/>
        <v>1826.28</v>
      </c>
    </row>
    <row r="2462" spans="1:12" ht="15" customHeight="1" x14ac:dyDescent="0.2">
      <c r="B2462" s="250" t="s">
        <v>4312</v>
      </c>
      <c r="C2462" s="250" t="s">
        <v>934</v>
      </c>
      <c r="D2462" s="250" t="s">
        <v>3971</v>
      </c>
      <c r="K2462" s="250">
        <v>1</v>
      </c>
      <c r="L2462" s="249">
        <f t="shared" si="5"/>
        <v>1902.375</v>
      </c>
    </row>
    <row r="2463" spans="1:12" ht="15" customHeight="1" x14ac:dyDescent="0.2">
      <c r="B2463" s="250" t="s">
        <v>3900</v>
      </c>
    </row>
    <row r="2464" spans="1:12" ht="15" customHeight="1" x14ac:dyDescent="0.2">
      <c r="A2464" s="252">
        <v>55</v>
      </c>
      <c r="B2464" s="250" t="s">
        <v>3054</v>
      </c>
      <c r="C2464" s="250" t="s">
        <v>934</v>
      </c>
      <c r="D2464" s="250" t="s">
        <v>4313</v>
      </c>
      <c r="K2464" s="250">
        <v>1</v>
      </c>
      <c r="L2464" s="249">
        <f>A$2464*0.0039*IF(MID(B2464,7,1)="*",MID(B2464,6,1)*MID(B2464,8,FIND("*",MID(B2464,8,20))-1)*MID(B2464,FIND("*",MID(B2464,8,20))+8,10),MID(B2464,6,FIND("*",B2464)-FIND("-",B2464)-1)*MID(B2464,FIND("*",B2464)+1,10))</f>
        <v>6.4349999999999996</v>
      </c>
    </row>
    <row r="2465" spans="2:12" ht="15" customHeight="1" x14ac:dyDescent="0.2">
      <c r="B2465" s="250" t="s">
        <v>3055</v>
      </c>
      <c r="C2465" s="250" t="s">
        <v>934</v>
      </c>
      <c r="D2465" s="250" t="s">
        <v>4313</v>
      </c>
      <c r="K2465" s="250">
        <v>1</v>
      </c>
      <c r="L2465" s="249">
        <f t="shared" ref="L2465:L2527" si="6">A$2464*0.0039*IF(MID(B2465,7,1)="*",MID(B2465,6,1)*MID(B2465,8,FIND("*",MID(B2465,8,20))-1)*MID(B2465,FIND("*",MID(B2465,8,20))+8,10),MID(B2465,6,FIND("*",B2465)-FIND("-",B2465)-1)*MID(B2465,FIND("*",B2465)+1,10))</f>
        <v>9.6524999999999999</v>
      </c>
    </row>
    <row r="2466" spans="2:12" ht="15" customHeight="1" x14ac:dyDescent="0.2">
      <c r="B2466" s="250" t="s">
        <v>3056</v>
      </c>
      <c r="C2466" s="250" t="s">
        <v>934</v>
      </c>
      <c r="D2466" s="250" t="s">
        <v>4313</v>
      </c>
      <c r="K2466" s="250">
        <v>1</v>
      </c>
      <c r="L2466" s="249">
        <f t="shared" si="6"/>
        <v>12.87</v>
      </c>
    </row>
    <row r="2467" spans="2:12" ht="15" customHeight="1" x14ac:dyDescent="0.2">
      <c r="B2467" s="250" t="s">
        <v>3057</v>
      </c>
      <c r="C2467" s="250" t="s">
        <v>934</v>
      </c>
      <c r="D2467" s="250" t="s">
        <v>4313</v>
      </c>
      <c r="K2467" s="250">
        <v>1</v>
      </c>
      <c r="L2467" s="249">
        <f t="shared" si="6"/>
        <v>17.16</v>
      </c>
    </row>
    <row r="2468" spans="2:12" ht="15" customHeight="1" x14ac:dyDescent="0.2">
      <c r="B2468" s="250" t="s">
        <v>3058</v>
      </c>
      <c r="C2468" s="250" t="s">
        <v>934</v>
      </c>
      <c r="D2468" s="250" t="s">
        <v>4313</v>
      </c>
      <c r="K2468" s="250">
        <v>1</v>
      </c>
      <c r="L2468" s="249">
        <f t="shared" si="6"/>
        <v>21.45</v>
      </c>
    </row>
    <row r="2469" spans="2:12" ht="15" customHeight="1" x14ac:dyDescent="0.2">
      <c r="B2469" s="250" t="s">
        <v>3059</v>
      </c>
      <c r="C2469" s="250" t="s">
        <v>934</v>
      </c>
      <c r="D2469" s="250" t="s">
        <v>4313</v>
      </c>
      <c r="K2469" s="250">
        <v>1</v>
      </c>
      <c r="L2469" s="249">
        <f t="shared" si="6"/>
        <v>16.087499999999999</v>
      </c>
    </row>
    <row r="2470" spans="2:12" ht="15" customHeight="1" x14ac:dyDescent="0.2">
      <c r="B2470" s="250" t="s">
        <v>3060</v>
      </c>
      <c r="C2470" s="250" t="s">
        <v>934</v>
      </c>
      <c r="D2470" s="250" t="s">
        <v>3973</v>
      </c>
      <c r="K2470" s="250">
        <v>1</v>
      </c>
      <c r="L2470" s="249">
        <f t="shared" si="6"/>
        <v>21.45</v>
      </c>
    </row>
    <row r="2471" spans="2:12" ht="15" customHeight="1" x14ac:dyDescent="0.2">
      <c r="B2471" s="250" t="s">
        <v>3061</v>
      </c>
      <c r="C2471" s="250" t="s">
        <v>934</v>
      </c>
      <c r="D2471" s="250" t="s">
        <v>4313</v>
      </c>
      <c r="K2471" s="250">
        <v>1</v>
      </c>
      <c r="L2471" s="249">
        <f t="shared" si="6"/>
        <v>26.8125</v>
      </c>
    </row>
    <row r="2472" spans="2:12" ht="15" customHeight="1" x14ac:dyDescent="0.2">
      <c r="B2472" s="250" t="s">
        <v>3062</v>
      </c>
      <c r="C2472" s="250" t="s">
        <v>934</v>
      </c>
      <c r="D2472" s="250" t="s">
        <v>3973</v>
      </c>
      <c r="K2472" s="250">
        <v>1</v>
      </c>
      <c r="L2472" s="249">
        <f t="shared" si="6"/>
        <v>32.174999999999997</v>
      </c>
    </row>
    <row r="2473" spans="2:12" ht="15" customHeight="1" x14ac:dyDescent="0.2">
      <c r="B2473" s="250" t="s">
        <v>3063</v>
      </c>
      <c r="C2473" s="250" t="s">
        <v>934</v>
      </c>
      <c r="D2473" s="250" t="s">
        <v>3973</v>
      </c>
      <c r="K2473" s="250">
        <v>1</v>
      </c>
      <c r="L2473" s="249">
        <f t="shared" si="6"/>
        <v>53.625</v>
      </c>
    </row>
    <row r="2474" spans="2:12" ht="15" customHeight="1" x14ac:dyDescent="0.2">
      <c r="B2474" s="250" t="s">
        <v>3064</v>
      </c>
      <c r="C2474" s="250" t="s">
        <v>934</v>
      </c>
      <c r="D2474" s="250" t="s">
        <v>3973</v>
      </c>
      <c r="K2474" s="250">
        <v>1</v>
      </c>
      <c r="L2474" s="249">
        <f t="shared" si="6"/>
        <v>19.305</v>
      </c>
    </row>
    <row r="2475" spans="2:12" ht="15" customHeight="1" x14ac:dyDescent="0.2">
      <c r="B2475" s="250" t="s">
        <v>3065</v>
      </c>
      <c r="C2475" s="250" t="s">
        <v>934</v>
      </c>
      <c r="D2475" s="250" t="s">
        <v>4313</v>
      </c>
      <c r="K2475" s="250">
        <v>1</v>
      </c>
      <c r="L2475" s="249">
        <f t="shared" si="6"/>
        <v>25.74</v>
      </c>
    </row>
    <row r="2476" spans="2:12" ht="15" customHeight="1" x14ac:dyDescent="0.2">
      <c r="B2476" s="250" t="s">
        <v>3066</v>
      </c>
      <c r="C2476" s="250" t="s">
        <v>934</v>
      </c>
      <c r="D2476" s="250" t="s">
        <v>3973</v>
      </c>
      <c r="K2476" s="250">
        <v>1</v>
      </c>
      <c r="L2476" s="249">
        <f t="shared" si="6"/>
        <v>32.174999999999997</v>
      </c>
    </row>
    <row r="2477" spans="2:12" ht="15" customHeight="1" x14ac:dyDescent="0.2">
      <c r="B2477" s="250" t="s">
        <v>3067</v>
      </c>
      <c r="C2477" s="250" t="s">
        <v>934</v>
      </c>
      <c r="D2477" s="250" t="s">
        <v>3973</v>
      </c>
      <c r="K2477" s="250">
        <v>1</v>
      </c>
      <c r="L2477" s="249">
        <f t="shared" si="6"/>
        <v>38.61</v>
      </c>
    </row>
    <row r="2478" spans="2:12" ht="15" customHeight="1" x14ac:dyDescent="0.2">
      <c r="B2478" s="250" t="s">
        <v>3068</v>
      </c>
      <c r="C2478" s="250" t="s">
        <v>934</v>
      </c>
      <c r="D2478" s="250" t="s">
        <v>4313</v>
      </c>
      <c r="K2478" s="250">
        <v>1</v>
      </c>
      <c r="L2478" s="249">
        <f t="shared" si="6"/>
        <v>51.48</v>
      </c>
    </row>
    <row r="2479" spans="2:12" ht="15" customHeight="1" x14ac:dyDescent="0.2">
      <c r="B2479" s="250" t="s">
        <v>3069</v>
      </c>
      <c r="C2479" s="250" t="s">
        <v>934</v>
      </c>
      <c r="D2479" s="250" t="s">
        <v>4313</v>
      </c>
      <c r="K2479" s="250">
        <v>1</v>
      </c>
      <c r="L2479" s="249">
        <f t="shared" si="6"/>
        <v>64.349999999999994</v>
      </c>
    </row>
    <row r="2480" spans="2:12" ht="15" customHeight="1" x14ac:dyDescent="0.2">
      <c r="B2480" s="250" t="s">
        <v>3070</v>
      </c>
      <c r="C2480" s="250" t="s">
        <v>934</v>
      </c>
      <c r="D2480" s="250" t="s">
        <v>3973</v>
      </c>
      <c r="K2480" s="250">
        <v>1</v>
      </c>
      <c r="L2480" s="249">
        <f t="shared" si="6"/>
        <v>34.32</v>
      </c>
    </row>
    <row r="2481" spans="2:12" ht="15" customHeight="1" x14ac:dyDescent="0.2">
      <c r="B2481" s="250" t="s">
        <v>3071</v>
      </c>
      <c r="C2481" s="250" t="s">
        <v>934</v>
      </c>
      <c r="D2481" s="250" t="s">
        <v>3973</v>
      </c>
      <c r="K2481" s="250">
        <v>1</v>
      </c>
      <c r="L2481" s="249">
        <f t="shared" si="6"/>
        <v>42.9</v>
      </c>
    </row>
    <row r="2482" spans="2:12" ht="15" customHeight="1" x14ac:dyDescent="0.2">
      <c r="B2482" s="250" t="s">
        <v>3072</v>
      </c>
      <c r="C2482" s="250" t="s">
        <v>934</v>
      </c>
      <c r="D2482" s="250" t="s">
        <v>3973</v>
      </c>
      <c r="K2482" s="250">
        <v>1</v>
      </c>
      <c r="L2482" s="249">
        <f t="shared" si="6"/>
        <v>51.48</v>
      </c>
    </row>
    <row r="2483" spans="2:12" ht="15" customHeight="1" x14ac:dyDescent="0.2">
      <c r="B2483" s="250" t="s">
        <v>3073</v>
      </c>
      <c r="C2483" s="250" t="s">
        <v>934</v>
      </c>
      <c r="D2483" s="250" t="s">
        <v>3973</v>
      </c>
      <c r="K2483" s="250">
        <v>1</v>
      </c>
      <c r="L2483" s="249">
        <f t="shared" si="6"/>
        <v>68.64</v>
      </c>
    </row>
    <row r="2484" spans="2:12" ht="15" customHeight="1" x14ac:dyDescent="0.2">
      <c r="B2484" s="250" t="s">
        <v>3074</v>
      </c>
      <c r="C2484" s="250" t="s">
        <v>934</v>
      </c>
      <c r="D2484" s="250" t="s">
        <v>3973</v>
      </c>
      <c r="K2484" s="250">
        <v>1</v>
      </c>
      <c r="L2484" s="249">
        <f t="shared" si="6"/>
        <v>85.8</v>
      </c>
    </row>
    <row r="2485" spans="2:12" ht="15" customHeight="1" x14ac:dyDescent="0.2">
      <c r="B2485" s="250" t="s">
        <v>3075</v>
      </c>
      <c r="C2485" s="250" t="s">
        <v>934</v>
      </c>
      <c r="D2485" s="250" t="s">
        <v>3973</v>
      </c>
      <c r="K2485" s="250">
        <v>1</v>
      </c>
      <c r="L2485" s="249">
        <f t="shared" si="6"/>
        <v>42.9</v>
      </c>
    </row>
    <row r="2486" spans="2:12" ht="15" customHeight="1" x14ac:dyDescent="0.2">
      <c r="B2486" s="250" t="s">
        <v>3076</v>
      </c>
      <c r="C2486" s="250" t="s">
        <v>934</v>
      </c>
      <c r="D2486" s="250" t="s">
        <v>4313</v>
      </c>
      <c r="K2486" s="250">
        <v>1</v>
      </c>
      <c r="L2486" s="249">
        <f t="shared" si="6"/>
        <v>53.625</v>
      </c>
    </row>
    <row r="2487" spans="2:12" ht="15" customHeight="1" x14ac:dyDescent="0.2">
      <c r="B2487" s="250" t="s">
        <v>3077</v>
      </c>
      <c r="C2487" s="250" t="s">
        <v>934</v>
      </c>
      <c r="D2487" s="250" t="s">
        <v>3973</v>
      </c>
      <c r="K2487" s="250">
        <v>1</v>
      </c>
      <c r="L2487" s="249">
        <f t="shared" si="6"/>
        <v>64.349999999999994</v>
      </c>
    </row>
    <row r="2488" spans="2:12" ht="15" customHeight="1" x14ac:dyDescent="0.2">
      <c r="B2488" s="250" t="s">
        <v>3078</v>
      </c>
      <c r="C2488" s="250" t="s">
        <v>934</v>
      </c>
      <c r="D2488" s="250" t="s">
        <v>4313</v>
      </c>
      <c r="K2488" s="250">
        <v>1</v>
      </c>
      <c r="L2488" s="249">
        <f t="shared" si="6"/>
        <v>85.8</v>
      </c>
    </row>
    <row r="2489" spans="2:12" ht="15" customHeight="1" x14ac:dyDescent="0.2">
      <c r="B2489" s="250" t="s">
        <v>3079</v>
      </c>
      <c r="C2489" s="250" t="s">
        <v>934</v>
      </c>
      <c r="D2489" s="250" t="s">
        <v>3973</v>
      </c>
      <c r="K2489" s="250">
        <v>1</v>
      </c>
      <c r="L2489" s="249">
        <f t="shared" si="6"/>
        <v>107.25</v>
      </c>
    </row>
    <row r="2490" spans="2:12" ht="15" customHeight="1" x14ac:dyDescent="0.2">
      <c r="B2490" s="250" t="s">
        <v>3080</v>
      </c>
      <c r="C2490" s="250" t="s">
        <v>934</v>
      </c>
      <c r="D2490" s="250" t="s">
        <v>3973</v>
      </c>
      <c r="K2490" s="250">
        <v>1</v>
      </c>
      <c r="L2490" s="249">
        <f t="shared" si="6"/>
        <v>51.48</v>
      </c>
    </row>
    <row r="2491" spans="2:12" ht="15" customHeight="1" x14ac:dyDescent="0.2">
      <c r="B2491" s="250" t="s">
        <v>3081</v>
      </c>
      <c r="C2491" s="250" t="s">
        <v>934</v>
      </c>
      <c r="D2491" s="250" t="s">
        <v>3973</v>
      </c>
      <c r="K2491" s="250">
        <v>1</v>
      </c>
      <c r="L2491" s="249">
        <f t="shared" si="6"/>
        <v>64.349999999999994</v>
      </c>
    </row>
    <row r="2492" spans="2:12" ht="15" customHeight="1" x14ac:dyDescent="0.2">
      <c r="B2492" s="250" t="s">
        <v>3082</v>
      </c>
      <c r="C2492" s="250" t="s">
        <v>934</v>
      </c>
      <c r="D2492" s="250" t="s">
        <v>4313</v>
      </c>
      <c r="K2492" s="250">
        <v>1</v>
      </c>
      <c r="L2492" s="249">
        <f t="shared" si="6"/>
        <v>77.22</v>
      </c>
    </row>
    <row r="2493" spans="2:12" ht="15" customHeight="1" x14ac:dyDescent="0.2">
      <c r="B2493" s="250" t="s">
        <v>3083</v>
      </c>
      <c r="C2493" s="250" t="s">
        <v>934</v>
      </c>
      <c r="D2493" s="250" t="s">
        <v>3973</v>
      </c>
      <c r="K2493" s="250">
        <v>1</v>
      </c>
      <c r="L2493" s="249">
        <f t="shared" si="6"/>
        <v>102.96</v>
      </c>
    </row>
    <row r="2494" spans="2:12" ht="15" customHeight="1" x14ac:dyDescent="0.2">
      <c r="B2494" s="250" t="s">
        <v>3084</v>
      </c>
      <c r="C2494" s="250" t="s">
        <v>934</v>
      </c>
      <c r="D2494" s="250" t="s">
        <v>3973</v>
      </c>
      <c r="K2494" s="250">
        <v>1</v>
      </c>
      <c r="L2494" s="249">
        <f t="shared" si="6"/>
        <v>128.69999999999999</v>
      </c>
    </row>
    <row r="2495" spans="2:12" ht="15" customHeight="1" x14ac:dyDescent="0.2">
      <c r="B2495" s="250" t="s">
        <v>3085</v>
      </c>
      <c r="C2495" s="250" t="s">
        <v>934</v>
      </c>
      <c r="D2495" s="250" t="s">
        <v>3973</v>
      </c>
      <c r="K2495" s="250">
        <v>1</v>
      </c>
      <c r="L2495" s="249">
        <f t="shared" si="6"/>
        <v>102.96</v>
      </c>
    </row>
    <row r="2496" spans="2:12" ht="15" customHeight="1" x14ac:dyDescent="0.2">
      <c r="B2496" s="250" t="s">
        <v>3086</v>
      </c>
      <c r="C2496" s="250" t="s">
        <v>934</v>
      </c>
      <c r="D2496" s="250" t="s">
        <v>4313</v>
      </c>
      <c r="K2496" s="250">
        <v>1</v>
      </c>
      <c r="L2496" s="249">
        <f t="shared" si="6"/>
        <v>137.28</v>
      </c>
    </row>
    <row r="2497" spans="1:15" ht="15" customHeight="1" x14ac:dyDescent="0.2">
      <c r="B2497" s="250" t="s">
        <v>3087</v>
      </c>
      <c r="C2497" s="250" t="s">
        <v>934</v>
      </c>
      <c r="D2497" s="250" t="s">
        <v>4313</v>
      </c>
      <c r="K2497" s="250">
        <v>1</v>
      </c>
      <c r="L2497" s="249">
        <f t="shared" si="6"/>
        <v>171.6</v>
      </c>
    </row>
    <row r="2498" spans="1:15" ht="15" customHeight="1" x14ac:dyDescent="0.2">
      <c r="B2498" s="250" t="s">
        <v>3088</v>
      </c>
      <c r="C2498" s="250" t="s">
        <v>934</v>
      </c>
      <c r="D2498" s="250" t="s">
        <v>3973</v>
      </c>
      <c r="K2498" s="250">
        <v>1</v>
      </c>
      <c r="L2498" s="249">
        <f t="shared" si="6"/>
        <v>128.69999999999999</v>
      </c>
    </row>
    <row r="2499" spans="1:15" ht="15" customHeight="1" x14ac:dyDescent="0.2">
      <c r="B2499" s="250" t="s">
        <v>3089</v>
      </c>
      <c r="C2499" s="250" t="s">
        <v>934</v>
      </c>
      <c r="D2499" s="250" t="s">
        <v>3973</v>
      </c>
      <c r="K2499" s="250">
        <v>1</v>
      </c>
      <c r="L2499" s="249">
        <f t="shared" si="6"/>
        <v>171.6</v>
      </c>
    </row>
    <row r="2500" spans="1:15" ht="15" customHeight="1" x14ac:dyDescent="0.2">
      <c r="B2500" s="250" t="s">
        <v>3090</v>
      </c>
      <c r="C2500" s="250" t="s">
        <v>934</v>
      </c>
      <c r="D2500" s="250" t="s">
        <v>3973</v>
      </c>
      <c r="K2500" s="250">
        <v>1</v>
      </c>
      <c r="L2500" s="249">
        <f t="shared" si="6"/>
        <v>214.5</v>
      </c>
    </row>
    <row r="2501" spans="1:15" ht="15" customHeight="1" x14ac:dyDescent="0.2">
      <c r="B2501" s="250" t="s">
        <v>3091</v>
      </c>
      <c r="C2501" s="250" t="s">
        <v>934</v>
      </c>
      <c r="D2501" s="250" t="s">
        <v>4313</v>
      </c>
      <c r="K2501" s="250">
        <v>1</v>
      </c>
      <c r="L2501" s="249">
        <f t="shared" si="6"/>
        <v>154.44</v>
      </c>
    </row>
    <row r="2502" spans="1:15" ht="15" customHeight="1" x14ac:dyDescent="0.2">
      <c r="B2502" s="250" t="s">
        <v>3092</v>
      </c>
      <c r="C2502" s="250" t="s">
        <v>934</v>
      </c>
      <c r="D2502" s="250" t="s">
        <v>3973</v>
      </c>
      <c r="K2502" s="250">
        <v>1</v>
      </c>
      <c r="L2502" s="249">
        <f t="shared" si="6"/>
        <v>205.92</v>
      </c>
    </row>
    <row r="2503" spans="1:15" ht="15" customHeight="1" x14ac:dyDescent="0.2">
      <c r="B2503" s="250" t="s">
        <v>3093</v>
      </c>
      <c r="C2503" s="250" t="s">
        <v>934</v>
      </c>
      <c r="D2503" s="250" t="s">
        <v>4313</v>
      </c>
      <c r="K2503" s="250">
        <v>1</v>
      </c>
      <c r="L2503" s="249">
        <f t="shared" si="6"/>
        <v>257.39999999999998</v>
      </c>
    </row>
    <row r="2504" spans="1:15" ht="15" customHeight="1" x14ac:dyDescent="0.2">
      <c r="B2504" s="250" t="s">
        <v>3094</v>
      </c>
      <c r="C2504" s="250" t="s">
        <v>934</v>
      </c>
      <c r="D2504" s="250" t="s">
        <v>3973</v>
      </c>
      <c r="K2504" s="250">
        <v>1</v>
      </c>
      <c r="L2504" s="249">
        <f t="shared" si="6"/>
        <v>214.5</v>
      </c>
    </row>
    <row r="2505" spans="1:15" ht="15" customHeight="1" x14ac:dyDescent="0.2">
      <c r="B2505" s="250" t="s">
        <v>3095</v>
      </c>
      <c r="C2505" s="250" t="s">
        <v>934</v>
      </c>
      <c r="D2505" s="250" t="s">
        <v>3973</v>
      </c>
      <c r="K2505" s="250">
        <v>1</v>
      </c>
      <c r="L2505" s="249">
        <f t="shared" si="6"/>
        <v>268.125</v>
      </c>
    </row>
    <row r="2506" spans="1:15" ht="15" customHeight="1" x14ac:dyDescent="0.2">
      <c r="B2506" s="250" t="s">
        <v>3096</v>
      </c>
      <c r="C2506" s="250" t="s">
        <v>934</v>
      </c>
      <c r="D2506" s="250" t="s">
        <v>4313</v>
      </c>
      <c r="K2506" s="250">
        <v>1</v>
      </c>
      <c r="L2506" s="249">
        <f t="shared" si="6"/>
        <v>321.75</v>
      </c>
    </row>
    <row r="2507" spans="1:15" ht="15" customHeight="1" x14ac:dyDescent="0.2">
      <c r="A2507" s="248"/>
      <c r="B2507" s="249" t="s">
        <v>3097</v>
      </c>
      <c r="C2507" s="249" t="s">
        <v>934</v>
      </c>
      <c r="D2507" s="250" t="s">
        <v>3973</v>
      </c>
      <c r="E2507" s="249"/>
      <c r="F2507" s="249"/>
      <c r="G2507" s="249"/>
      <c r="H2507" s="249"/>
      <c r="I2507" s="249"/>
      <c r="J2507" s="249"/>
      <c r="K2507" s="250">
        <v>1</v>
      </c>
      <c r="L2507" s="249">
        <f t="shared" si="6"/>
        <v>193.04999999999998</v>
      </c>
      <c r="M2507" s="249"/>
      <c r="N2507" s="249"/>
      <c r="O2507" s="249"/>
    </row>
    <row r="2508" spans="1:15" ht="15" customHeight="1" x14ac:dyDescent="0.2">
      <c r="A2508" s="248"/>
      <c r="B2508" s="249" t="s">
        <v>3098</v>
      </c>
      <c r="C2508" s="249" t="s">
        <v>934</v>
      </c>
      <c r="D2508" s="250" t="s">
        <v>3973</v>
      </c>
      <c r="E2508" s="249"/>
      <c r="F2508" s="249"/>
      <c r="G2508" s="249"/>
      <c r="H2508" s="249"/>
      <c r="I2508" s="249"/>
      <c r="J2508" s="249"/>
      <c r="K2508" s="250">
        <v>1</v>
      </c>
      <c r="L2508" s="249">
        <f t="shared" si="6"/>
        <v>321.75</v>
      </c>
      <c r="M2508" s="249"/>
      <c r="N2508" s="249"/>
      <c r="O2508" s="249"/>
    </row>
    <row r="2509" spans="1:15" ht="15" customHeight="1" x14ac:dyDescent="0.2">
      <c r="A2509" s="276" t="s">
        <v>4308</v>
      </c>
      <c r="B2509" s="249" t="s">
        <v>3099</v>
      </c>
      <c r="C2509" s="249" t="s">
        <v>934</v>
      </c>
      <c r="D2509" s="250" t="s">
        <v>4313</v>
      </c>
      <c r="E2509" s="249"/>
      <c r="F2509" s="249"/>
      <c r="G2509" s="249"/>
      <c r="H2509" s="249"/>
      <c r="I2509" s="249"/>
      <c r="J2509" s="249"/>
      <c r="K2509" s="250">
        <v>1</v>
      </c>
      <c r="L2509" s="249">
        <f t="shared" si="6"/>
        <v>154.44</v>
      </c>
      <c r="M2509" s="249"/>
      <c r="N2509" s="249"/>
      <c r="O2509" s="249"/>
    </row>
    <row r="2510" spans="1:15" ht="15" customHeight="1" x14ac:dyDescent="0.2">
      <c r="B2510" s="250" t="s">
        <v>3100</v>
      </c>
      <c r="C2510" s="250" t="s">
        <v>934</v>
      </c>
      <c r="D2510" s="250" t="s">
        <v>3973</v>
      </c>
      <c r="K2510" s="250">
        <v>1</v>
      </c>
      <c r="L2510" s="249">
        <f t="shared" si="6"/>
        <v>205.92</v>
      </c>
    </row>
    <row r="2511" spans="1:15" ht="15" customHeight="1" x14ac:dyDescent="0.2">
      <c r="B2511" s="250" t="s">
        <v>3101</v>
      </c>
      <c r="C2511" s="250" t="s">
        <v>934</v>
      </c>
      <c r="D2511" s="250" t="s">
        <v>4313</v>
      </c>
      <c r="K2511" s="250">
        <v>1</v>
      </c>
      <c r="L2511" s="249">
        <f t="shared" si="6"/>
        <v>257.39999999999998</v>
      </c>
    </row>
    <row r="2512" spans="1:15" ht="15" customHeight="1" x14ac:dyDescent="0.2">
      <c r="B2512" s="250" t="s">
        <v>3102</v>
      </c>
      <c r="C2512" s="250" t="s">
        <v>934</v>
      </c>
      <c r="D2512" s="250" t="s">
        <v>3973</v>
      </c>
      <c r="K2512" s="250">
        <v>1</v>
      </c>
      <c r="L2512" s="249">
        <f t="shared" si="6"/>
        <v>205.92</v>
      </c>
    </row>
    <row r="2513" spans="2:12" ht="15" customHeight="1" x14ac:dyDescent="0.2">
      <c r="B2513" s="250" t="s">
        <v>3103</v>
      </c>
      <c r="C2513" s="250" t="s">
        <v>934</v>
      </c>
      <c r="D2513" s="250" t="s">
        <v>4313</v>
      </c>
      <c r="K2513" s="250">
        <v>1</v>
      </c>
      <c r="L2513" s="249">
        <f t="shared" si="6"/>
        <v>274.56</v>
      </c>
    </row>
    <row r="2514" spans="2:12" ht="15" customHeight="1" x14ac:dyDescent="0.2">
      <c r="B2514" s="250" t="s">
        <v>3104</v>
      </c>
      <c r="C2514" s="250" t="s">
        <v>934</v>
      </c>
      <c r="D2514" s="250" t="s">
        <v>3973</v>
      </c>
      <c r="K2514" s="250">
        <v>1</v>
      </c>
      <c r="L2514" s="249">
        <f t="shared" si="6"/>
        <v>343.2</v>
      </c>
    </row>
    <row r="2515" spans="2:12" ht="15" customHeight="1" x14ac:dyDescent="0.2">
      <c r="B2515" s="250" t="s">
        <v>3105</v>
      </c>
      <c r="C2515" s="250" t="s">
        <v>934</v>
      </c>
      <c r="D2515" s="250" t="s">
        <v>3973</v>
      </c>
      <c r="K2515" s="250">
        <v>1</v>
      </c>
      <c r="L2515" s="249">
        <f t="shared" si="6"/>
        <v>257.39999999999998</v>
      </c>
    </row>
    <row r="2516" spans="2:12" ht="15" customHeight="1" x14ac:dyDescent="0.2">
      <c r="B2516" s="250" t="s">
        <v>3106</v>
      </c>
      <c r="C2516" s="250" t="s">
        <v>934</v>
      </c>
      <c r="D2516" s="250" t="s">
        <v>4313</v>
      </c>
      <c r="K2516" s="250">
        <v>1</v>
      </c>
      <c r="L2516" s="249">
        <f t="shared" si="6"/>
        <v>343.2</v>
      </c>
    </row>
    <row r="2517" spans="2:12" ht="15" customHeight="1" x14ac:dyDescent="0.2">
      <c r="B2517" s="250" t="s">
        <v>3107</v>
      </c>
      <c r="C2517" s="250" t="s">
        <v>934</v>
      </c>
      <c r="D2517" s="250" t="s">
        <v>3973</v>
      </c>
      <c r="K2517" s="250">
        <v>1</v>
      </c>
      <c r="L2517" s="249">
        <f t="shared" si="6"/>
        <v>429</v>
      </c>
    </row>
    <row r="2518" spans="2:12" ht="15" customHeight="1" x14ac:dyDescent="0.2">
      <c r="B2518" s="250" t="s">
        <v>3108</v>
      </c>
      <c r="C2518" s="250" t="s">
        <v>934</v>
      </c>
      <c r="D2518" s="250" t="s">
        <v>3973</v>
      </c>
      <c r="K2518" s="250">
        <v>1</v>
      </c>
      <c r="L2518" s="249">
        <f t="shared" si="6"/>
        <v>308.88</v>
      </c>
    </row>
    <row r="2519" spans="2:12" ht="15" customHeight="1" x14ac:dyDescent="0.2">
      <c r="B2519" s="250" t="s">
        <v>3109</v>
      </c>
      <c r="C2519" s="250" t="s">
        <v>934</v>
      </c>
      <c r="D2519" s="250" t="s">
        <v>4313</v>
      </c>
      <c r="K2519" s="250">
        <v>1</v>
      </c>
      <c r="L2519" s="249">
        <f t="shared" si="6"/>
        <v>411.84</v>
      </c>
    </row>
    <row r="2520" spans="2:12" ht="15" customHeight="1" x14ac:dyDescent="0.2">
      <c r="B2520" s="250" t="s">
        <v>3110</v>
      </c>
      <c r="C2520" s="250" t="s">
        <v>934</v>
      </c>
      <c r="D2520" s="250" t="s">
        <v>3973</v>
      </c>
      <c r="K2520" s="250">
        <v>1</v>
      </c>
      <c r="L2520" s="249">
        <f t="shared" si="6"/>
        <v>514.79999999999995</v>
      </c>
    </row>
    <row r="2521" spans="2:12" ht="15" customHeight="1" x14ac:dyDescent="0.2">
      <c r="B2521" s="250" t="s">
        <v>3111</v>
      </c>
      <c r="C2521" s="250" t="s">
        <v>934</v>
      </c>
      <c r="D2521" s="250" t="s">
        <v>4313</v>
      </c>
      <c r="K2521" s="250">
        <v>1</v>
      </c>
      <c r="L2521" s="249">
        <f t="shared" si="6"/>
        <v>429</v>
      </c>
    </row>
    <row r="2522" spans="2:12" ht="15" customHeight="1" x14ac:dyDescent="0.2">
      <c r="B2522" s="250" t="s">
        <v>3112</v>
      </c>
      <c r="C2522" s="250" t="s">
        <v>934</v>
      </c>
      <c r="D2522" s="250" t="s">
        <v>4313</v>
      </c>
      <c r="K2522" s="250">
        <v>1</v>
      </c>
      <c r="L2522" s="249">
        <f t="shared" si="6"/>
        <v>536.25</v>
      </c>
    </row>
    <row r="2523" spans="2:12" ht="15" customHeight="1" x14ac:dyDescent="0.2">
      <c r="B2523" s="250" t="s">
        <v>3113</v>
      </c>
      <c r="C2523" s="250" t="s">
        <v>934</v>
      </c>
      <c r="D2523" s="250" t="s">
        <v>3973</v>
      </c>
      <c r="K2523" s="250">
        <v>1</v>
      </c>
      <c r="L2523" s="249">
        <f t="shared" si="6"/>
        <v>643.5</v>
      </c>
    </row>
    <row r="2524" spans="2:12" ht="15" customHeight="1" x14ac:dyDescent="0.2">
      <c r="B2524" s="250" t="s">
        <v>3114</v>
      </c>
      <c r="C2524" s="250" t="s">
        <v>934</v>
      </c>
      <c r="D2524" s="250" t="s">
        <v>4313</v>
      </c>
      <c r="K2524" s="250">
        <v>1</v>
      </c>
      <c r="L2524" s="249">
        <f t="shared" si="6"/>
        <v>386.09999999999997</v>
      </c>
    </row>
    <row r="2525" spans="2:12" ht="15" customHeight="1" x14ac:dyDescent="0.2">
      <c r="B2525" s="250" t="s">
        <v>3115</v>
      </c>
      <c r="C2525" s="250" t="s">
        <v>934</v>
      </c>
      <c r="D2525" s="250" t="s">
        <v>3973</v>
      </c>
      <c r="K2525" s="250">
        <v>1</v>
      </c>
      <c r="L2525" s="249">
        <f t="shared" si="6"/>
        <v>643.5</v>
      </c>
    </row>
    <row r="2526" spans="2:12" ht="15" customHeight="1" x14ac:dyDescent="0.2">
      <c r="B2526" s="250" t="s">
        <v>3116</v>
      </c>
      <c r="C2526" s="250" t="s">
        <v>934</v>
      </c>
      <c r="D2526" s="250" t="s">
        <v>3973</v>
      </c>
      <c r="K2526" s="250">
        <v>1</v>
      </c>
      <c r="L2526" s="249">
        <f t="shared" si="6"/>
        <v>772.19999999999993</v>
      </c>
    </row>
    <row r="2527" spans="2:12" ht="15" customHeight="1" x14ac:dyDescent="0.2">
      <c r="B2527" s="250" t="s">
        <v>3117</v>
      </c>
      <c r="C2527" s="250" t="s">
        <v>934</v>
      </c>
      <c r="D2527" s="250" t="s">
        <v>3973</v>
      </c>
      <c r="K2527" s="250">
        <v>1</v>
      </c>
      <c r="L2527" s="249">
        <f t="shared" si="6"/>
        <v>804.375</v>
      </c>
    </row>
    <row r="2528" spans="2:12" ht="15" customHeight="1" x14ac:dyDescent="0.2">
      <c r="B2528" s="250" t="s">
        <v>4174</v>
      </c>
    </row>
    <row r="2529" spans="1:12" ht="15" customHeight="1" x14ac:dyDescent="0.2">
      <c r="A2529" s="252">
        <v>25</v>
      </c>
      <c r="B2529" s="250" t="s">
        <v>954</v>
      </c>
      <c r="C2529" s="250" t="s">
        <v>934</v>
      </c>
      <c r="D2529" s="250" t="s">
        <v>4314</v>
      </c>
      <c r="K2529" s="250">
        <v>1</v>
      </c>
      <c r="L2529" s="249">
        <f>A$2529*0.0027*IF(MID(B2529,5,2)="2*",2*MID(B2529,7,FIND("*",MID(B2529,7,20))-1)*MID(B2529,FIND("*",MID(B2529,7,20))+7,10),MID(B2529,5,FIND("*",B2529)-FIND("-",B2529)-1)*MID(B2529,FIND("*",B2529)+1,10))</f>
        <v>3.0375000000000001</v>
      </c>
    </row>
    <row r="2530" spans="1:12" ht="15" customHeight="1" x14ac:dyDescent="0.2">
      <c r="B2530" s="250" t="s">
        <v>955</v>
      </c>
      <c r="C2530" s="250" t="s">
        <v>934</v>
      </c>
      <c r="D2530" s="250" t="s">
        <v>3974</v>
      </c>
      <c r="K2530" s="250">
        <v>1</v>
      </c>
      <c r="L2530" s="249">
        <f>A$2529*0.0027*IF(MID(B2530,5,2)="2*",2*MID(B2530,7,FIND("*",MID(B2530,7,20))-1)*MID(B2530,FIND("*",MID(B2530,7,20))+7,10),MID(B2530,5,FIND("*",B2530)-FIND("-",B2530)-1)*MID(B2530,FIND("*",B2530)+1,10))</f>
        <v>4.0500000000000007</v>
      </c>
    </row>
    <row r="2531" spans="1:12" ht="15" customHeight="1" x14ac:dyDescent="0.2">
      <c r="B2531" s="250" t="s">
        <v>956</v>
      </c>
      <c r="C2531" s="250" t="s">
        <v>934</v>
      </c>
      <c r="D2531" s="250" t="s">
        <v>4314</v>
      </c>
      <c r="K2531" s="250">
        <v>1</v>
      </c>
      <c r="L2531" s="249">
        <f t="shared" ref="L2531:L2562" si="7">A$2529*0.0027*IF(MID(B2531,5,2)="2*",2*MID(B2531,7,FIND("*",MID(B2531,7,20))-1)*MID(B2531,FIND("*",MID(B2531,7,20))+7,10),MID(B2531,5,FIND("*",B2531)-FIND("-",B2531)-1)*MID(B2531,FIND("*",B2531)+1,10))</f>
        <v>5.4</v>
      </c>
    </row>
    <row r="2532" spans="1:12" ht="15" customHeight="1" x14ac:dyDescent="0.2">
      <c r="B2532" s="250" t="s">
        <v>957</v>
      </c>
      <c r="C2532" s="250" t="s">
        <v>934</v>
      </c>
      <c r="D2532" s="250" t="s">
        <v>3974</v>
      </c>
      <c r="K2532" s="250">
        <v>1</v>
      </c>
      <c r="L2532" s="249">
        <f t="shared" si="7"/>
        <v>5.0625</v>
      </c>
    </row>
    <row r="2533" spans="1:12" ht="15" customHeight="1" x14ac:dyDescent="0.2">
      <c r="B2533" s="250" t="s">
        <v>958</v>
      </c>
      <c r="C2533" s="250" t="s">
        <v>934</v>
      </c>
      <c r="D2533" s="250" t="s">
        <v>3974</v>
      </c>
      <c r="K2533" s="250">
        <v>1</v>
      </c>
      <c r="L2533" s="249">
        <f t="shared" si="7"/>
        <v>6.75</v>
      </c>
    </row>
    <row r="2534" spans="1:12" ht="15" customHeight="1" x14ac:dyDescent="0.2">
      <c r="B2534" s="250" t="s">
        <v>959</v>
      </c>
      <c r="C2534" s="250" t="s">
        <v>934</v>
      </c>
      <c r="D2534" s="250" t="s">
        <v>4314</v>
      </c>
      <c r="K2534" s="250">
        <v>1</v>
      </c>
      <c r="L2534" s="249">
        <f t="shared" si="7"/>
        <v>8.4375</v>
      </c>
    </row>
    <row r="2535" spans="1:12" ht="15" customHeight="1" x14ac:dyDescent="0.2">
      <c r="B2535" s="250" t="s">
        <v>960</v>
      </c>
      <c r="C2535" s="250" t="s">
        <v>934</v>
      </c>
      <c r="D2535" s="250" t="s">
        <v>4314</v>
      </c>
      <c r="K2535" s="250">
        <v>1</v>
      </c>
      <c r="L2535" s="249">
        <f t="shared" si="7"/>
        <v>6.0750000000000002</v>
      </c>
    </row>
    <row r="2536" spans="1:12" ht="15" customHeight="1" x14ac:dyDescent="0.2">
      <c r="B2536" s="250" t="s">
        <v>961</v>
      </c>
      <c r="C2536" s="250" t="s">
        <v>934</v>
      </c>
      <c r="D2536" s="250" t="s">
        <v>3974</v>
      </c>
      <c r="K2536" s="250">
        <v>1</v>
      </c>
      <c r="L2536" s="249">
        <f t="shared" si="7"/>
        <v>8.1000000000000014</v>
      </c>
    </row>
    <row r="2537" spans="1:12" ht="15" customHeight="1" x14ac:dyDescent="0.2">
      <c r="B2537" s="250" t="s">
        <v>962</v>
      </c>
      <c r="C2537" s="250" t="s">
        <v>934</v>
      </c>
      <c r="D2537" s="250" t="s">
        <v>3974</v>
      </c>
      <c r="K2537" s="250">
        <v>1</v>
      </c>
      <c r="L2537" s="249">
        <f t="shared" si="7"/>
        <v>10.125</v>
      </c>
    </row>
    <row r="2538" spans="1:12" ht="15" customHeight="1" x14ac:dyDescent="0.2">
      <c r="B2538" s="250" t="s">
        <v>963</v>
      </c>
      <c r="C2538" s="250" t="s">
        <v>934</v>
      </c>
      <c r="D2538" s="250" t="s">
        <v>4314</v>
      </c>
      <c r="K2538" s="250">
        <v>1</v>
      </c>
      <c r="L2538" s="249">
        <f t="shared" si="7"/>
        <v>12.15</v>
      </c>
    </row>
    <row r="2539" spans="1:12" ht="15" customHeight="1" x14ac:dyDescent="0.2">
      <c r="B2539" s="250" t="s">
        <v>964</v>
      </c>
      <c r="C2539" s="250" t="s">
        <v>934</v>
      </c>
      <c r="D2539" s="250" t="s">
        <v>3974</v>
      </c>
      <c r="K2539" s="250">
        <v>1</v>
      </c>
      <c r="L2539" s="249">
        <f t="shared" si="7"/>
        <v>10.8</v>
      </c>
    </row>
    <row r="2540" spans="1:12" ht="15" customHeight="1" x14ac:dyDescent="0.2">
      <c r="B2540" s="250" t="s">
        <v>965</v>
      </c>
      <c r="C2540" s="250" t="s">
        <v>934</v>
      </c>
      <c r="D2540" s="250" t="s">
        <v>3974</v>
      </c>
      <c r="K2540" s="250">
        <v>1</v>
      </c>
      <c r="L2540" s="249">
        <f t="shared" si="7"/>
        <v>13.5</v>
      </c>
    </row>
    <row r="2541" spans="1:12" ht="15" customHeight="1" x14ac:dyDescent="0.2">
      <c r="B2541" s="250" t="s">
        <v>966</v>
      </c>
      <c r="C2541" s="250" t="s">
        <v>934</v>
      </c>
      <c r="D2541" s="250" t="s">
        <v>4314</v>
      </c>
      <c r="K2541" s="250">
        <v>1</v>
      </c>
      <c r="L2541" s="249">
        <f t="shared" si="7"/>
        <v>16.200000000000003</v>
      </c>
    </row>
    <row r="2542" spans="1:12" ht="15" customHeight="1" x14ac:dyDescent="0.2">
      <c r="B2542" s="250" t="s">
        <v>967</v>
      </c>
      <c r="C2542" s="250" t="s">
        <v>934</v>
      </c>
      <c r="D2542" s="250" t="s">
        <v>4314</v>
      </c>
      <c r="K2542" s="250">
        <v>1</v>
      </c>
      <c r="L2542" s="249">
        <f t="shared" si="7"/>
        <v>21.6</v>
      </c>
    </row>
    <row r="2543" spans="1:12" ht="15" customHeight="1" x14ac:dyDescent="0.2">
      <c r="B2543" s="250" t="s">
        <v>4315</v>
      </c>
      <c r="C2543" s="250" t="s">
        <v>934</v>
      </c>
      <c r="D2543" s="250" t="s">
        <v>3974</v>
      </c>
      <c r="K2543" s="250">
        <v>1</v>
      </c>
      <c r="L2543" s="249">
        <f t="shared" si="7"/>
        <v>27</v>
      </c>
    </row>
    <row r="2544" spans="1:12" ht="15" customHeight="1" x14ac:dyDescent="0.2">
      <c r="B2544" s="250" t="s">
        <v>968</v>
      </c>
      <c r="C2544" s="250" t="s">
        <v>934</v>
      </c>
      <c r="D2544" s="250" t="s">
        <v>3974</v>
      </c>
      <c r="K2544" s="250">
        <v>1</v>
      </c>
      <c r="L2544" s="249">
        <f t="shared" si="7"/>
        <v>16.875</v>
      </c>
    </row>
    <row r="2545" spans="2:12" ht="15" customHeight="1" x14ac:dyDescent="0.2">
      <c r="B2545" s="250" t="s">
        <v>969</v>
      </c>
      <c r="C2545" s="250" t="s">
        <v>934</v>
      </c>
      <c r="D2545" s="250" t="s">
        <v>4314</v>
      </c>
      <c r="K2545" s="250">
        <v>1</v>
      </c>
      <c r="L2545" s="249">
        <f t="shared" si="7"/>
        <v>20.25</v>
      </c>
    </row>
    <row r="2546" spans="2:12" ht="15" customHeight="1" x14ac:dyDescent="0.2">
      <c r="B2546" s="250" t="s">
        <v>970</v>
      </c>
      <c r="C2546" s="250" t="s">
        <v>934</v>
      </c>
      <c r="D2546" s="250" t="s">
        <v>4314</v>
      </c>
      <c r="K2546" s="250">
        <v>1</v>
      </c>
      <c r="L2546" s="249">
        <f t="shared" si="7"/>
        <v>27</v>
      </c>
    </row>
    <row r="2547" spans="2:12" ht="15" customHeight="1" x14ac:dyDescent="0.2">
      <c r="B2547" s="250" t="s">
        <v>971</v>
      </c>
      <c r="C2547" s="250" t="s">
        <v>934</v>
      </c>
      <c r="D2547" s="250" t="s">
        <v>3974</v>
      </c>
      <c r="K2547" s="250">
        <v>1</v>
      </c>
      <c r="L2547" s="249">
        <f t="shared" si="7"/>
        <v>33.75</v>
      </c>
    </row>
    <row r="2548" spans="2:12" ht="15" customHeight="1" x14ac:dyDescent="0.2">
      <c r="B2548" s="250" t="s">
        <v>972</v>
      </c>
      <c r="C2548" s="250" t="s">
        <v>934</v>
      </c>
      <c r="D2548" s="250" t="s">
        <v>3974</v>
      </c>
      <c r="K2548" s="250">
        <v>1</v>
      </c>
      <c r="L2548" s="249">
        <f t="shared" si="7"/>
        <v>24.3</v>
      </c>
    </row>
    <row r="2549" spans="2:12" ht="15" customHeight="1" x14ac:dyDescent="0.2">
      <c r="B2549" s="250" t="s">
        <v>973</v>
      </c>
      <c r="C2549" s="250" t="s">
        <v>934</v>
      </c>
      <c r="D2549" s="250" t="s">
        <v>4314</v>
      </c>
      <c r="K2549" s="250">
        <v>1</v>
      </c>
      <c r="L2549" s="249">
        <f t="shared" si="7"/>
        <v>32.400000000000006</v>
      </c>
    </row>
    <row r="2550" spans="2:12" ht="15" customHeight="1" x14ac:dyDescent="0.2">
      <c r="B2550" s="250" t="s">
        <v>974</v>
      </c>
      <c r="C2550" s="250" t="s">
        <v>934</v>
      </c>
      <c r="D2550" s="250" t="s">
        <v>4314</v>
      </c>
      <c r="K2550" s="250">
        <v>1</v>
      </c>
      <c r="L2550" s="249">
        <f t="shared" si="7"/>
        <v>40.5</v>
      </c>
    </row>
    <row r="2551" spans="2:12" ht="15" customHeight="1" x14ac:dyDescent="0.2">
      <c r="B2551" s="250" t="s">
        <v>975</v>
      </c>
      <c r="C2551" s="250" t="s">
        <v>934</v>
      </c>
      <c r="D2551" s="250" t="s">
        <v>3974</v>
      </c>
      <c r="K2551" s="250">
        <v>1</v>
      </c>
      <c r="L2551" s="249">
        <f t="shared" si="7"/>
        <v>32.400000000000006</v>
      </c>
    </row>
    <row r="2552" spans="2:12" ht="15" customHeight="1" x14ac:dyDescent="0.2">
      <c r="B2552" s="250" t="s">
        <v>976</v>
      </c>
      <c r="C2552" s="250" t="s">
        <v>934</v>
      </c>
      <c r="D2552" s="250" t="s">
        <v>4314</v>
      </c>
      <c r="K2552" s="250">
        <v>1</v>
      </c>
      <c r="L2552" s="249">
        <f t="shared" si="7"/>
        <v>43.2</v>
      </c>
    </row>
    <row r="2553" spans="2:12" ht="15" customHeight="1" x14ac:dyDescent="0.2">
      <c r="B2553" s="250" t="s">
        <v>977</v>
      </c>
      <c r="C2553" s="250" t="s">
        <v>934</v>
      </c>
      <c r="D2553" s="250" t="s">
        <v>3974</v>
      </c>
      <c r="K2553" s="250">
        <v>1</v>
      </c>
      <c r="L2553" s="249">
        <f t="shared" si="7"/>
        <v>54</v>
      </c>
    </row>
    <row r="2554" spans="2:12" ht="15" customHeight="1" x14ac:dyDescent="0.2">
      <c r="B2554" s="250" t="s">
        <v>978</v>
      </c>
      <c r="C2554" s="250" t="s">
        <v>934</v>
      </c>
      <c r="D2554" s="250" t="s">
        <v>3974</v>
      </c>
      <c r="K2554" s="250">
        <v>1</v>
      </c>
      <c r="L2554" s="249">
        <f t="shared" si="7"/>
        <v>40.5</v>
      </c>
    </row>
    <row r="2555" spans="2:12" ht="15" customHeight="1" x14ac:dyDescent="0.2">
      <c r="B2555" s="250" t="s">
        <v>979</v>
      </c>
      <c r="C2555" s="250" t="s">
        <v>934</v>
      </c>
      <c r="D2555" s="250" t="s">
        <v>4314</v>
      </c>
      <c r="K2555" s="250">
        <v>1</v>
      </c>
      <c r="L2555" s="249">
        <f t="shared" si="7"/>
        <v>54</v>
      </c>
    </row>
    <row r="2556" spans="2:12" ht="15" customHeight="1" x14ac:dyDescent="0.2">
      <c r="B2556" s="250" t="s">
        <v>980</v>
      </c>
      <c r="C2556" s="250" t="s">
        <v>934</v>
      </c>
      <c r="D2556" s="250" t="s">
        <v>3974</v>
      </c>
      <c r="K2556" s="250">
        <v>1</v>
      </c>
      <c r="L2556" s="249">
        <f t="shared" si="7"/>
        <v>67.5</v>
      </c>
    </row>
    <row r="2557" spans="2:12" ht="15" customHeight="1" x14ac:dyDescent="0.2">
      <c r="B2557" s="250" t="s">
        <v>981</v>
      </c>
      <c r="C2557" s="250" t="s">
        <v>934</v>
      </c>
      <c r="D2557" s="250" t="s">
        <v>3974</v>
      </c>
      <c r="K2557" s="250">
        <v>1</v>
      </c>
      <c r="L2557" s="249">
        <f t="shared" si="7"/>
        <v>48.6</v>
      </c>
    </row>
    <row r="2558" spans="2:12" ht="15" customHeight="1" x14ac:dyDescent="0.2">
      <c r="B2558" s="250" t="s">
        <v>982</v>
      </c>
      <c r="C2558" s="250" t="s">
        <v>934</v>
      </c>
      <c r="D2558" s="250" t="s">
        <v>4314</v>
      </c>
      <c r="K2558" s="250">
        <v>1</v>
      </c>
      <c r="L2558" s="249">
        <f t="shared" si="7"/>
        <v>64.800000000000011</v>
      </c>
    </row>
    <row r="2559" spans="2:12" ht="15" customHeight="1" x14ac:dyDescent="0.2">
      <c r="B2559" s="250" t="s">
        <v>983</v>
      </c>
      <c r="C2559" s="250" t="s">
        <v>934</v>
      </c>
      <c r="D2559" s="250" t="s">
        <v>4314</v>
      </c>
      <c r="K2559" s="250">
        <v>1</v>
      </c>
      <c r="L2559" s="249">
        <f t="shared" si="7"/>
        <v>81</v>
      </c>
    </row>
    <row r="2560" spans="2:12" ht="15" customHeight="1" x14ac:dyDescent="0.2">
      <c r="B2560" s="250" t="s">
        <v>984</v>
      </c>
      <c r="C2560" s="250" t="s">
        <v>934</v>
      </c>
      <c r="D2560" s="250" t="s">
        <v>3974</v>
      </c>
      <c r="K2560" s="250">
        <v>1</v>
      </c>
      <c r="L2560" s="249">
        <f t="shared" si="7"/>
        <v>67.5</v>
      </c>
    </row>
    <row r="2561" spans="2:12" ht="15" customHeight="1" x14ac:dyDescent="0.2">
      <c r="B2561" s="250" t="s">
        <v>985</v>
      </c>
      <c r="C2561" s="250" t="s">
        <v>934</v>
      </c>
      <c r="D2561" s="250" t="s">
        <v>3974</v>
      </c>
      <c r="K2561" s="250">
        <v>1</v>
      </c>
      <c r="L2561" s="249">
        <f t="shared" si="7"/>
        <v>84.375</v>
      </c>
    </row>
    <row r="2562" spans="2:12" ht="15" customHeight="1" x14ac:dyDescent="0.2">
      <c r="B2562" s="250" t="s">
        <v>986</v>
      </c>
      <c r="C2562" s="250" t="s">
        <v>934</v>
      </c>
      <c r="D2562" s="250" t="s">
        <v>4314</v>
      </c>
      <c r="K2562" s="250">
        <v>1</v>
      </c>
      <c r="L2562" s="249">
        <f t="shared" si="7"/>
        <v>101.25</v>
      </c>
    </row>
    <row r="2563" spans="2:12" ht="15" customHeight="1" x14ac:dyDescent="0.2">
      <c r="B2563" s="250" t="s">
        <v>3900</v>
      </c>
    </row>
    <row r="2564" spans="2:12" ht="15" customHeight="1" x14ac:dyDescent="0.2">
      <c r="B2564" s="250" t="s">
        <v>987</v>
      </c>
      <c r="D2564" s="250" t="s">
        <v>114</v>
      </c>
      <c r="K2564" s="250">
        <v>1</v>
      </c>
      <c r="L2564" s="250">
        <v>16900</v>
      </c>
    </row>
    <row r="2565" spans="2:12" ht="15" customHeight="1" x14ac:dyDescent="0.2">
      <c r="B2565" s="250" t="s">
        <v>988</v>
      </c>
      <c r="D2565" s="250" t="s">
        <v>114</v>
      </c>
      <c r="K2565" s="250">
        <v>1</v>
      </c>
      <c r="L2565" s="250">
        <v>22400</v>
      </c>
    </row>
    <row r="2566" spans="2:12" ht="15" customHeight="1" x14ac:dyDescent="0.2">
      <c r="B2566" s="250" t="s">
        <v>989</v>
      </c>
      <c r="D2566" s="250" t="s">
        <v>114</v>
      </c>
      <c r="K2566" s="250">
        <v>1</v>
      </c>
      <c r="L2566" s="250">
        <v>25400</v>
      </c>
    </row>
    <row r="2567" spans="2:12" ht="15" customHeight="1" x14ac:dyDescent="0.2">
      <c r="B2567" s="250" t="s">
        <v>990</v>
      </c>
      <c r="D2567" s="250" t="s">
        <v>114</v>
      </c>
      <c r="K2567" s="250">
        <v>1</v>
      </c>
      <c r="L2567" s="250">
        <v>29500</v>
      </c>
    </row>
    <row r="2568" spans="2:12" ht="15" customHeight="1" x14ac:dyDescent="0.2">
      <c r="B2568" s="250" t="s">
        <v>991</v>
      </c>
      <c r="D2568" s="250" t="s">
        <v>114</v>
      </c>
      <c r="K2568" s="250">
        <v>1</v>
      </c>
      <c r="L2568" s="250">
        <v>34400</v>
      </c>
    </row>
    <row r="2569" spans="2:12" ht="15" customHeight="1" x14ac:dyDescent="0.2">
      <c r="B2569" s="250" t="s">
        <v>992</v>
      </c>
      <c r="D2569" s="250" t="s">
        <v>114</v>
      </c>
      <c r="K2569" s="250">
        <v>1</v>
      </c>
      <c r="L2569" s="250">
        <v>41500</v>
      </c>
    </row>
    <row r="2570" spans="2:12" ht="15" customHeight="1" x14ac:dyDescent="0.2">
      <c r="B2570" s="250" t="s">
        <v>993</v>
      </c>
      <c r="D2570" s="250" t="s">
        <v>114</v>
      </c>
      <c r="K2570" s="250">
        <v>1</v>
      </c>
      <c r="L2570" s="250">
        <v>49100</v>
      </c>
    </row>
    <row r="2571" spans="2:12" ht="15" customHeight="1" x14ac:dyDescent="0.2">
      <c r="B2571" s="250" t="s">
        <v>994</v>
      </c>
      <c r="D2571" s="250" t="s">
        <v>114</v>
      </c>
      <c r="K2571" s="250">
        <v>1</v>
      </c>
      <c r="L2571" s="250">
        <v>59600</v>
      </c>
    </row>
    <row r="2572" spans="2:12" ht="15" customHeight="1" x14ac:dyDescent="0.2">
      <c r="B2572" s="250" t="s">
        <v>995</v>
      </c>
      <c r="D2572" s="250" t="s">
        <v>114</v>
      </c>
      <c r="K2572" s="250">
        <v>1</v>
      </c>
      <c r="L2572" s="250">
        <v>71800</v>
      </c>
    </row>
    <row r="2573" spans="2:12" ht="15" customHeight="1" x14ac:dyDescent="0.2">
      <c r="B2573" s="250" t="s">
        <v>996</v>
      </c>
      <c r="D2573" s="250" t="s">
        <v>114</v>
      </c>
      <c r="K2573" s="250">
        <v>1</v>
      </c>
      <c r="L2573" s="250">
        <v>80700</v>
      </c>
    </row>
    <row r="2574" spans="2:12" ht="15" customHeight="1" x14ac:dyDescent="0.2">
      <c r="B2574" s="250" t="s">
        <v>997</v>
      </c>
      <c r="D2574" s="250" t="s">
        <v>114</v>
      </c>
      <c r="K2574" s="250">
        <v>1</v>
      </c>
      <c r="L2574" s="250">
        <v>100100</v>
      </c>
    </row>
    <row r="2575" spans="2:12" ht="15" customHeight="1" x14ac:dyDescent="0.2">
      <c r="B2575" s="250" t="s">
        <v>998</v>
      </c>
      <c r="D2575" s="250" t="s">
        <v>114</v>
      </c>
      <c r="K2575" s="250">
        <v>1</v>
      </c>
      <c r="L2575" s="250">
        <v>120200</v>
      </c>
    </row>
    <row r="2576" spans="2:12" ht="15" customHeight="1" x14ac:dyDescent="0.2">
      <c r="B2576" s="250" t="s">
        <v>999</v>
      </c>
      <c r="D2576" s="250" t="s">
        <v>114</v>
      </c>
      <c r="K2576" s="250">
        <v>1</v>
      </c>
      <c r="L2576" s="250">
        <v>13200</v>
      </c>
    </row>
    <row r="2577" spans="2:12" ht="15" customHeight="1" x14ac:dyDescent="0.2">
      <c r="B2577" s="250" t="s">
        <v>1000</v>
      </c>
      <c r="D2577" s="250" t="s">
        <v>114</v>
      </c>
      <c r="K2577" s="250">
        <v>1</v>
      </c>
      <c r="L2577" s="250">
        <v>16900</v>
      </c>
    </row>
    <row r="2578" spans="2:12" ht="15" customHeight="1" x14ac:dyDescent="0.2">
      <c r="B2578" s="250" t="s">
        <v>1001</v>
      </c>
      <c r="D2578" s="250" t="s">
        <v>114</v>
      </c>
      <c r="K2578" s="250">
        <v>1</v>
      </c>
      <c r="L2578" s="250">
        <v>19700</v>
      </c>
    </row>
    <row r="2579" spans="2:12" ht="15" customHeight="1" x14ac:dyDescent="0.2">
      <c r="B2579" s="250" t="s">
        <v>1002</v>
      </c>
      <c r="D2579" s="250" t="s">
        <v>114</v>
      </c>
      <c r="K2579" s="250">
        <v>1</v>
      </c>
      <c r="L2579" s="250">
        <v>22600</v>
      </c>
    </row>
    <row r="2580" spans="2:12" ht="15" customHeight="1" x14ac:dyDescent="0.2">
      <c r="B2580" s="250" t="s">
        <v>1003</v>
      </c>
      <c r="D2580" s="250" t="s">
        <v>114</v>
      </c>
      <c r="K2580" s="250">
        <v>1</v>
      </c>
      <c r="L2580" s="250">
        <v>25500</v>
      </c>
    </row>
    <row r="2581" spans="2:12" ht="15" customHeight="1" x14ac:dyDescent="0.2">
      <c r="B2581" s="250" t="s">
        <v>1004</v>
      </c>
      <c r="D2581" s="250" t="s">
        <v>114</v>
      </c>
      <c r="K2581" s="250">
        <v>1</v>
      </c>
      <c r="L2581" s="250">
        <v>30300</v>
      </c>
    </row>
    <row r="2582" spans="2:12" ht="15" customHeight="1" x14ac:dyDescent="0.2">
      <c r="B2582" s="250" t="s">
        <v>1005</v>
      </c>
      <c r="D2582" s="250" t="s">
        <v>114</v>
      </c>
      <c r="K2582" s="250">
        <v>1</v>
      </c>
      <c r="L2582" s="250">
        <v>35500</v>
      </c>
    </row>
    <row r="2583" spans="2:12" ht="15" customHeight="1" x14ac:dyDescent="0.2">
      <c r="B2583" s="250" t="s">
        <v>1006</v>
      </c>
      <c r="D2583" s="250" t="s">
        <v>114</v>
      </c>
      <c r="K2583" s="250">
        <v>1</v>
      </c>
      <c r="L2583" s="250">
        <v>44100</v>
      </c>
    </row>
    <row r="2584" spans="2:12" ht="15" customHeight="1" x14ac:dyDescent="0.2">
      <c r="B2584" s="250" t="s">
        <v>1007</v>
      </c>
      <c r="D2584" s="250" t="s">
        <v>114</v>
      </c>
      <c r="K2584" s="250">
        <v>1</v>
      </c>
      <c r="L2584" s="250">
        <v>52700</v>
      </c>
    </row>
    <row r="2585" spans="2:12" ht="15" customHeight="1" x14ac:dyDescent="0.2">
      <c r="B2585" s="250" t="s">
        <v>1008</v>
      </c>
      <c r="D2585" s="250" t="s">
        <v>114</v>
      </c>
      <c r="K2585" s="250">
        <v>1</v>
      </c>
      <c r="L2585" s="250">
        <v>59900</v>
      </c>
    </row>
    <row r="2586" spans="2:12" ht="15" customHeight="1" x14ac:dyDescent="0.2">
      <c r="B2586" s="250" t="s">
        <v>1009</v>
      </c>
      <c r="D2586" s="250" t="s">
        <v>114</v>
      </c>
      <c r="K2586" s="250">
        <v>1</v>
      </c>
      <c r="L2586" s="250">
        <v>72000</v>
      </c>
    </row>
    <row r="2587" spans="2:12" ht="15" customHeight="1" x14ac:dyDescent="0.2">
      <c r="B2587" s="250" t="s">
        <v>1010</v>
      </c>
      <c r="D2587" s="250" t="s">
        <v>114</v>
      </c>
      <c r="K2587" s="250">
        <v>1</v>
      </c>
      <c r="L2587" s="250">
        <v>89400</v>
      </c>
    </row>
    <row r="2588" spans="2:12" ht="15" customHeight="1" x14ac:dyDescent="0.2">
      <c r="B2588" s="250" t="s">
        <v>1011</v>
      </c>
      <c r="D2588" s="250" t="s">
        <v>114</v>
      </c>
      <c r="K2588" s="250">
        <v>1</v>
      </c>
      <c r="L2588" s="250">
        <v>10900</v>
      </c>
    </row>
    <row r="2589" spans="2:12" ht="15" customHeight="1" x14ac:dyDescent="0.2">
      <c r="B2589" s="250" t="s">
        <v>4316</v>
      </c>
      <c r="D2589" s="250" t="s">
        <v>114</v>
      </c>
      <c r="K2589" s="250">
        <v>1</v>
      </c>
      <c r="L2589" s="250">
        <v>12400</v>
      </c>
    </row>
    <row r="2590" spans="2:12" ht="15" customHeight="1" x14ac:dyDescent="0.2">
      <c r="B2590" s="250" t="s">
        <v>4317</v>
      </c>
      <c r="D2590" s="250" t="s">
        <v>114</v>
      </c>
      <c r="K2590" s="250">
        <v>1</v>
      </c>
      <c r="L2590" s="250">
        <v>14000</v>
      </c>
    </row>
    <row r="2591" spans="2:12" ht="15" customHeight="1" x14ac:dyDescent="0.2">
      <c r="B2591" s="250" t="s">
        <v>1012</v>
      </c>
      <c r="D2591" s="250" t="s">
        <v>114</v>
      </c>
      <c r="K2591" s="250">
        <v>1</v>
      </c>
      <c r="L2591" s="250">
        <v>15400</v>
      </c>
    </row>
    <row r="2592" spans="2:12" ht="15" customHeight="1" x14ac:dyDescent="0.2">
      <c r="B2592" s="250" t="s">
        <v>1013</v>
      </c>
      <c r="D2592" s="250" t="s">
        <v>114</v>
      </c>
      <c r="K2592" s="250">
        <v>1</v>
      </c>
      <c r="L2592" s="250">
        <v>17900</v>
      </c>
    </row>
    <row r="2593" spans="2:12" ht="15" customHeight="1" x14ac:dyDescent="0.2">
      <c r="B2593" s="250" t="s">
        <v>1014</v>
      </c>
      <c r="D2593" s="250" t="s">
        <v>114</v>
      </c>
      <c r="K2593" s="250">
        <v>1</v>
      </c>
      <c r="L2593" s="250">
        <v>20500</v>
      </c>
    </row>
    <row r="2594" spans="2:12" ht="15" customHeight="1" x14ac:dyDescent="0.2">
      <c r="B2594" s="250" t="s">
        <v>1015</v>
      </c>
      <c r="D2594" s="250" t="s">
        <v>114</v>
      </c>
      <c r="K2594" s="250">
        <v>1</v>
      </c>
      <c r="L2594" s="250">
        <v>23600</v>
      </c>
    </row>
    <row r="2595" spans="2:12" ht="15" customHeight="1" x14ac:dyDescent="0.2">
      <c r="B2595" s="250" t="s">
        <v>1016</v>
      </c>
      <c r="D2595" s="250" t="s">
        <v>114</v>
      </c>
      <c r="K2595" s="250">
        <v>1</v>
      </c>
      <c r="L2595" s="250">
        <v>28000</v>
      </c>
    </row>
    <row r="2596" spans="2:12" ht="15" customHeight="1" x14ac:dyDescent="0.2">
      <c r="B2596" s="250" t="s">
        <v>1017</v>
      </c>
      <c r="D2596" s="250" t="s">
        <v>114</v>
      </c>
      <c r="K2596" s="250">
        <v>1</v>
      </c>
      <c r="L2596" s="250">
        <v>33000</v>
      </c>
    </row>
    <row r="2597" spans="2:12" ht="15" customHeight="1" x14ac:dyDescent="0.2">
      <c r="B2597" s="250" t="s">
        <v>1018</v>
      </c>
      <c r="D2597" s="250" t="s">
        <v>114</v>
      </c>
      <c r="K2597" s="250">
        <v>1</v>
      </c>
      <c r="L2597" s="250">
        <v>38100</v>
      </c>
    </row>
    <row r="2598" spans="2:12" ht="15" customHeight="1" x14ac:dyDescent="0.2">
      <c r="B2598" s="250" t="s">
        <v>1019</v>
      </c>
      <c r="D2598" s="250" t="s">
        <v>114</v>
      </c>
      <c r="K2598" s="250">
        <v>1</v>
      </c>
      <c r="L2598" s="250">
        <v>46500</v>
      </c>
    </row>
    <row r="2599" spans="2:12" ht="15" customHeight="1" x14ac:dyDescent="0.2">
      <c r="B2599" s="250" t="s">
        <v>1020</v>
      </c>
      <c r="D2599" s="250" t="s">
        <v>114</v>
      </c>
      <c r="K2599" s="250">
        <v>1</v>
      </c>
      <c r="L2599" s="250">
        <v>56400</v>
      </c>
    </row>
    <row r="2600" spans="2:12" ht="15" customHeight="1" x14ac:dyDescent="0.2">
      <c r="B2600" s="250" t="s">
        <v>1021</v>
      </c>
      <c r="D2600" s="250" t="s">
        <v>114</v>
      </c>
      <c r="K2600" s="250">
        <v>1</v>
      </c>
      <c r="L2600" s="250">
        <v>62300</v>
      </c>
    </row>
    <row r="2601" spans="2:12" ht="15" customHeight="1" x14ac:dyDescent="0.2">
      <c r="B2601" s="250" t="s">
        <v>1022</v>
      </c>
      <c r="D2601" s="250" t="s">
        <v>114</v>
      </c>
      <c r="K2601" s="250">
        <v>1</v>
      </c>
      <c r="L2601" s="250">
        <v>70200</v>
      </c>
    </row>
    <row r="2602" spans="2:12" ht="15" customHeight="1" x14ac:dyDescent="0.2">
      <c r="B2602" s="250" t="s">
        <v>1023</v>
      </c>
      <c r="D2602" s="250" t="s">
        <v>114</v>
      </c>
      <c r="K2602" s="250">
        <v>1</v>
      </c>
      <c r="L2602" s="250">
        <v>84100</v>
      </c>
    </row>
    <row r="2603" spans="2:12" ht="15" customHeight="1" x14ac:dyDescent="0.2">
      <c r="B2603" s="250" t="s">
        <v>1024</v>
      </c>
      <c r="D2603" s="250" t="s">
        <v>114</v>
      </c>
      <c r="K2603" s="250">
        <v>1</v>
      </c>
      <c r="L2603" s="250">
        <v>99600</v>
      </c>
    </row>
    <row r="2604" spans="2:12" ht="15" customHeight="1" x14ac:dyDescent="0.2">
      <c r="B2604" s="250" t="s">
        <v>1025</v>
      </c>
      <c r="D2604" s="250" t="s">
        <v>114</v>
      </c>
      <c r="K2604" s="250">
        <v>1</v>
      </c>
      <c r="L2604" s="250">
        <v>7600</v>
      </c>
    </row>
    <row r="2605" spans="2:12" ht="15" customHeight="1" x14ac:dyDescent="0.2">
      <c r="B2605" s="250" t="s">
        <v>4318</v>
      </c>
      <c r="D2605" s="250" t="s">
        <v>114</v>
      </c>
      <c r="K2605" s="250">
        <v>1</v>
      </c>
      <c r="L2605" s="250">
        <v>8600</v>
      </c>
    </row>
    <row r="2606" spans="2:12" ht="15" customHeight="1" x14ac:dyDescent="0.2">
      <c r="B2606" s="250" t="s">
        <v>4319</v>
      </c>
      <c r="D2606" s="250" t="s">
        <v>114</v>
      </c>
      <c r="K2606" s="250">
        <v>1</v>
      </c>
      <c r="L2606" s="250">
        <v>10200</v>
      </c>
    </row>
    <row r="2607" spans="2:12" ht="15" customHeight="1" x14ac:dyDescent="0.2">
      <c r="B2607" s="250" t="s">
        <v>1026</v>
      </c>
      <c r="D2607" s="250" t="s">
        <v>114</v>
      </c>
      <c r="K2607" s="250">
        <v>1</v>
      </c>
      <c r="L2607" s="250">
        <v>11200</v>
      </c>
    </row>
    <row r="2608" spans="2:12" ht="15" customHeight="1" x14ac:dyDescent="0.2">
      <c r="B2608" s="250" t="s">
        <v>1027</v>
      </c>
      <c r="D2608" s="250" t="s">
        <v>114</v>
      </c>
      <c r="K2608" s="250">
        <v>1</v>
      </c>
      <c r="L2608" s="250">
        <v>12700</v>
      </c>
    </row>
    <row r="2609" spans="2:12" ht="15" customHeight="1" x14ac:dyDescent="0.2">
      <c r="B2609" s="250" t="s">
        <v>1028</v>
      </c>
      <c r="D2609" s="250" t="s">
        <v>114</v>
      </c>
      <c r="K2609" s="250">
        <v>1</v>
      </c>
      <c r="L2609" s="250">
        <v>14800</v>
      </c>
    </row>
    <row r="2610" spans="2:12" ht="15" customHeight="1" x14ac:dyDescent="0.2">
      <c r="B2610" s="250" t="s">
        <v>1029</v>
      </c>
      <c r="D2610" s="250" t="s">
        <v>114</v>
      </c>
      <c r="K2610" s="250">
        <v>1</v>
      </c>
      <c r="L2610" s="250">
        <v>16700</v>
      </c>
    </row>
    <row r="2611" spans="2:12" ht="15" customHeight="1" x14ac:dyDescent="0.2">
      <c r="B2611" s="250" t="s">
        <v>1030</v>
      </c>
      <c r="D2611" s="250" t="s">
        <v>114</v>
      </c>
      <c r="K2611" s="250">
        <v>1</v>
      </c>
      <c r="L2611" s="250">
        <v>19800</v>
      </c>
    </row>
    <row r="2612" spans="2:12" ht="15" customHeight="1" x14ac:dyDescent="0.2">
      <c r="B2612" s="250" t="s">
        <v>1031</v>
      </c>
      <c r="D2612" s="250" t="s">
        <v>114</v>
      </c>
      <c r="K2612" s="250">
        <v>1</v>
      </c>
      <c r="L2612" s="250">
        <v>22800</v>
      </c>
    </row>
    <row r="2613" spans="2:12" ht="15" customHeight="1" x14ac:dyDescent="0.2">
      <c r="B2613" s="250" t="s">
        <v>1032</v>
      </c>
      <c r="D2613" s="250" t="s">
        <v>114</v>
      </c>
      <c r="K2613" s="250">
        <v>1</v>
      </c>
      <c r="L2613" s="250">
        <v>25900</v>
      </c>
    </row>
    <row r="2614" spans="2:12" ht="15" customHeight="1" x14ac:dyDescent="0.2">
      <c r="B2614" s="250" t="s">
        <v>1033</v>
      </c>
      <c r="D2614" s="250" t="s">
        <v>114</v>
      </c>
      <c r="K2614" s="250">
        <v>1</v>
      </c>
      <c r="L2614" s="250">
        <v>30600</v>
      </c>
    </row>
    <row r="2615" spans="2:12" ht="15" customHeight="1" x14ac:dyDescent="0.2">
      <c r="B2615" s="250" t="s">
        <v>1034</v>
      </c>
      <c r="D2615" s="250" t="s">
        <v>114</v>
      </c>
      <c r="K2615" s="250">
        <v>1</v>
      </c>
      <c r="L2615" s="250">
        <v>37700</v>
      </c>
    </row>
    <row r="2616" spans="2:12" ht="15" customHeight="1" x14ac:dyDescent="0.2">
      <c r="B2616" s="250" t="s">
        <v>1035</v>
      </c>
      <c r="D2616" s="250" t="s">
        <v>114</v>
      </c>
      <c r="K2616" s="250">
        <v>1</v>
      </c>
      <c r="L2616" s="250">
        <v>43800</v>
      </c>
    </row>
    <row r="2617" spans="2:12" ht="15" customHeight="1" x14ac:dyDescent="0.2">
      <c r="B2617" s="250" t="s">
        <v>1036</v>
      </c>
      <c r="D2617" s="250" t="s">
        <v>114</v>
      </c>
      <c r="K2617" s="250">
        <v>1</v>
      </c>
      <c r="L2617" s="250">
        <v>48500</v>
      </c>
    </row>
    <row r="2618" spans="2:12" ht="15" customHeight="1" x14ac:dyDescent="0.2">
      <c r="B2618" s="250" t="s">
        <v>1037</v>
      </c>
      <c r="D2618" s="250" t="s">
        <v>114</v>
      </c>
      <c r="K2618" s="250">
        <v>1</v>
      </c>
      <c r="L2618" s="250">
        <v>57200</v>
      </c>
    </row>
    <row r="2619" spans="2:12" ht="15" customHeight="1" x14ac:dyDescent="0.2">
      <c r="B2619" s="250" t="s">
        <v>1038</v>
      </c>
      <c r="D2619" s="250" t="s">
        <v>114</v>
      </c>
      <c r="K2619" s="250">
        <v>1</v>
      </c>
      <c r="L2619" s="250">
        <v>70200</v>
      </c>
    </row>
    <row r="2620" spans="2:12" ht="15" customHeight="1" x14ac:dyDescent="0.2">
      <c r="B2620" s="250" t="s">
        <v>1039</v>
      </c>
      <c r="D2620" s="250" t="s">
        <v>114</v>
      </c>
      <c r="K2620" s="250">
        <v>1</v>
      </c>
      <c r="L2620" s="250">
        <v>6800</v>
      </c>
    </row>
    <row r="2621" spans="2:12" ht="15" customHeight="1" x14ac:dyDescent="0.2">
      <c r="B2621" s="250" t="s">
        <v>1040</v>
      </c>
      <c r="D2621" s="250" t="s">
        <v>114</v>
      </c>
      <c r="K2621" s="250">
        <v>1</v>
      </c>
      <c r="L2621" s="250">
        <v>8700</v>
      </c>
    </row>
    <row r="2622" spans="2:12" ht="15" customHeight="1" x14ac:dyDescent="0.2">
      <c r="B2622" s="250" t="s">
        <v>1041</v>
      </c>
      <c r="D2622" s="250" t="s">
        <v>114</v>
      </c>
      <c r="K2622" s="250">
        <v>1</v>
      </c>
      <c r="L2622" s="250">
        <v>11200</v>
      </c>
    </row>
    <row r="2623" spans="2:12" ht="15" customHeight="1" x14ac:dyDescent="0.2">
      <c r="B2623" s="250" t="s">
        <v>1042</v>
      </c>
      <c r="D2623" s="250" t="s">
        <v>114</v>
      </c>
      <c r="K2623" s="250">
        <v>1</v>
      </c>
      <c r="L2623" s="250">
        <v>12600</v>
      </c>
    </row>
    <row r="2624" spans="2:12" ht="15" customHeight="1" x14ac:dyDescent="0.2">
      <c r="B2624" s="250" t="s">
        <v>1043</v>
      </c>
      <c r="D2624" s="250" t="s">
        <v>114</v>
      </c>
      <c r="K2624" s="250">
        <v>1</v>
      </c>
      <c r="L2624" s="250">
        <v>14000</v>
      </c>
    </row>
    <row r="2625" spans="2:12" ht="15" customHeight="1" x14ac:dyDescent="0.2">
      <c r="B2625" s="250" t="s">
        <v>1044</v>
      </c>
      <c r="D2625" s="250" t="s">
        <v>114</v>
      </c>
      <c r="K2625" s="250">
        <v>1</v>
      </c>
      <c r="L2625" s="250">
        <v>15900</v>
      </c>
    </row>
    <row r="2626" spans="2:12" ht="15" customHeight="1" x14ac:dyDescent="0.2">
      <c r="B2626" s="250" t="s">
        <v>1045</v>
      </c>
      <c r="D2626" s="250" t="s">
        <v>114</v>
      </c>
      <c r="K2626" s="250">
        <v>1</v>
      </c>
      <c r="L2626" s="250">
        <v>18800</v>
      </c>
    </row>
    <row r="2627" spans="2:12" ht="15" customHeight="1" x14ac:dyDescent="0.2">
      <c r="B2627" s="250" t="s">
        <v>1046</v>
      </c>
      <c r="D2627" s="250" t="s">
        <v>114</v>
      </c>
      <c r="K2627" s="250">
        <v>1</v>
      </c>
      <c r="L2627" s="250">
        <v>21400</v>
      </c>
    </row>
    <row r="2628" spans="2:12" ht="15" customHeight="1" x14ac:dyDescent="0.2">
      <c r="B2628" s="250" t="s">
        <v>1047</v>
      </c>
      <c r="D2628" s="250" t="s">
        <v>114</v>
      </c>
      <c r="K2628" s="250">
        <v>1</v>
      </c>
      <c r="L2628" s="250">
        <v>24700</v>
      </c>
    </row>
    <row r="2629" spans="2:12" ht="15" customHeight="1" x14ac:dyDescent="0.2">
      <c r="B2629" s="250" t="s">
        <v>1048</v>
      </c>
      <c r="D2629" s="250" t="s">
        <v>114</v>
      </c>
      <c r="K2629" s="250">
        <v>1</v>
      </c>
      <c r="L2629" s="250">
        <v>29400</v>
      </c>
    </row>
    <row r="2630" spans="2:12" ht="15" customHeight="1" x14ac:dyDescent="0.2">
      <c r="B2630" s="250" t="s">
        <v>1049</v>
      </c>
      <c r="D2630" s="250" t="s">
        <v>114</v>
      </c>
      <c r="K2630" s="250">
        <v>1</v>
      </c>
      <c r="L2630" s="250">
        <v>34700</v>
      </c>
    </row>
    <row r="2631" spans="2:12" ht="15" customHeight="1" x14ac:dyDescent="0.2">
      <c r="B2631" s="250" t="s">
        <v>1050</v>
      </c>
      <c r="D2631" s="250" t="s">
        <v>114</v>
      </c>
      <c r="K2631" s="250">
        <v>1</v>
      </c>
      <c r="L2631" s="250">
        <v>42400</v>
      </c>
    </row>
    <row r="2632" spans="2:12" ht="15" customHeight="1" x14ac:dyDescent="0.2">
      <c r="B2632" s="250" t="s">
        <v>1051</v>
      </c>
      <c r="D2632" s="250" t="s">
        <v>114</v>
      </c>
      <c r="K2632" s="250">
        <v>1</v>
      </c>
      <c r="L2632" s="250">
        <v>50100</v>
      </c>
    </row>
    <row r="2633" spans="2:12" ht="15" customHeight="1" x14ac:dyDescent="0.2">
      <c r="B2633" s="250" t="s">
        <v>1052</v>
      </c>
      <c r="D2633" s="250" t="s">
        <v>114</v>
      </c>
      <c r="K2633" s="250">
        <v>1</v>
      </c>
      <c r="L2633" s="250">
        <v>57100</v>
      </c>
    </row>
    <row r="2634" spans="2:12" ht="15" customHeight="1" x14ac:dyDescent="0.2">
      <c r="B2634" s="250" t="s">
        <v>1053</v>
      </c>
      <c r="D2634" s="250" t="s">
        <v>114</v>
      </c>
      <c r="K2634" s="250">
        <v>1</v>
      </c>
      <c r="L2634" s="250">
        <v>65200</v>
      </c>
    </row>
    <row r="2635" spans="2:12" ht="15" customHeight="1" x14ac:dyDescent="0.2">
      <c r="B2635" s="250" t="s">
        <v>1054</v>
      </c>
      <c r="D2635" s="250" t="s">
        <v>114</v>
      </c>
      <c r="K2635" s="250">
        <v>1</v>
      </c>
      <c r="L2635" s="250">
        <v>83700</v>
      </c>
    </row>
    <row r="2636" spans="2:12" ht="15" customHeight="1" x14ac:dyDescent="0.2">
      <c r="B2636" s="250" t="s">
        <v>1055</v>
      </c>
      <c r="D2636" s="250" t="s">
        <v>114</v>
      </c>
      <c r="K2636" s="250">
        <v>1</v>
      </c>
      <c r="L2636" s="250">
        <v>96400</v>
      </c>
    </row>
    <row r="2637" spans="2:12" ht="15" customHeight="1" x14ac:dyDescent="0.2">
      <c r="B2637" s="250" t="s">
        <v>1056</v>
      </c>
      <c r="D2637" s="250" t="s">
        <v>114</v>
      </c>
      <c r="K2637" s="250">
        <v>1</v>
      </c>
      <c r="L2637" s="250">
        <v>5600</v>
      </c>
    </row>
    <row r="2638" spans="2:12" ht="15" customHeight="1" x14ac:dyDescent="0.2">
      <c r="B2638" s="250" t="s">
        <v>1057</v>
      </c>
      <c r="D2638" s="250" t="s">
        <v>114</v>
      </c>
      <c r="K2638" s="250">
        <v>1</v>
      </c>
      <c r="L2638" s="250">
        <v>7000</v>
      </c>
    </row>
    <row r="2639" spans="2:12" ht="15" customHeight="1" x14ac:dyDescent="0.2">
      <c r="B2639" s="250" t="s">
        <v>1058</v>
      </c>
      <c r="D2639" s="250" t="s">
        <v>114</v>
      </c>
      <c r="K2639" s="250">
        <v>1</v>
      </c>
      <c r="L2639" s="250">
        <v>8700</v>
      </c>
    </row>
    <row r="2640" spans="2:12" ht="15" customHeight="1" x14ac:dyDescent="0.2">
      <c r="B2640" s="250" t="s">
        <v>1059</v>
      </c>
      <c r="D2640" s="250" t="s">
        <v>114</v>
      </c>
      <c r="K2640" s="250">
        <v>1</v>
      </c>
      <c r="L2640" s="250">
        <v>10000</v>
      </c>
    </row>
    <row r="2641" spans="2:12" ht="15" customHeight="1" x14ac:dyDescent="0.2">
      <c r="B2641" s="250" t="s">
        <v>1060</v>
      </c>
      <c r="D2641" s="250" t="s">
        <v>114</v>
      </c>
      <c r="K2641" s="250">
        <v>1</v>
      </c>
      <c r="L2641" s="250">
        <v>11100</v>
      </c>
    </row>
    <row r="2642" spans="2:12" ht="15" customHeight="1" x14ac:dyDescent="0.2">
      <c r="B2642" s="250" t="s">
        <v>1061</v>
      </c>
      <c r="D2642" s="250" t="s">
        <v>114</v>
      </c>
      <c r="K2642" s="250">
        <v>1</v>
      </c>
      <c r="L2642" s="250">
        <v>12800</v>
      </c>
    </row>
    <row r="2643" spans="2:12" ht="15" customHeight="1" x14ac:dyDescent="0.2">
      <c r="B2643" s="250" t="s">
        <v>1062</v>
      </c>
      <c r="D2643" s="250" t="s">
        <v>114</v>
      </c>
      <c r="K2643" s="250">
        <v>1</v>
      </c>
      <c r="L2643" s="250">
        <v>15100</v>
      </c>
    </row>
    <row r="2644" spans="2:12" ht="15" customHeight="1" x14ac:dyDescent="0.2">
      <c r="B2644" s="250" t="s">
        <v>1063</v>
      </c>
      <c r="D2644" s="250" t="s">
        <v>114</v>
      </c>
      <c r="K2644" s="250">
        <v>1</v>
      </c>
      <c r="L2644" s="250">
        <v>17500</v>
      </c>
    </row>
    <row r="2645" spans="2:12" ht="15" customHeight="1" x14ac:dyDescent="0.2">
      <c r="B2645" s="250" t="s">
        <v>1064</v>
      </c>
      <c r="D2645" s="250" t="s">
        <v>114</v>
      </c>
      <c r="K2645" s="250">
        <v>1</v>
      </c>
      <c r="L2645" s="250">
        <v>20000</v>
      </c>
    </row>
    <row r="2646" spans="2:12" ht="15" customHeight="1" x14ac:dyDescent="0.2">
      <c r="B2646" s="250" t="s">
        <v>1065</v>
      </c>
      <c r="D2646" s="250" t="s">
        <v>114</v>
      </c>
      <c r="K2646" s="250">
        <v>1</v>
      </c>
      <c r="L2646" s="250">
        <v>22800</v>
      </c>
    </row>
    <row r="2647" spans="2:12" ht="15" customHeight="1" x14ac:dyDescent="0.2">
      <c r="B2647" s="250" t="s">
        <v>1066</v>
      </c>
      <c r="D2647" s="250" t="s">
        <v>114</v>
      </c>
      <c r="K2647" s="250">
        <v>1</v>
      </c>
      <c r="L2647" s="250">
        <v>27000</v>
      </c>
    </row>
    <row r="2648" spans="2:12" ht="15" customHeight="1" x14ac:dyDescent="0.2">
      <c r="B2648" s="250" t="s">
        <v>1067</v>
      </c>
      <c r="D2648" s="250" t="s">
        <v>114</v>
      </c>
      <c r="K2648" s="250">
        <v>1</v>
      </c>
      <c r="L2648" s="250">
        <v>32500</v>
      </c>
    </row>
    <row r="2649" spans="2:12" ht="15" customHeight="1" x14ac:dyDescent="0.2">
      <c r="B2649" s="250" t="s">
        <v>1068</v>
      </c>
      <c r="D2649" s="250" t="s">
        <v>114</v>
      </c>
      <c r="K2649" s="250">
        <v>1</v>
      </c>
      <c r="L2649" s="250">
        <v>38700</v>
      </c>
    </row>
    <row r="2650" spans="2:12" ht="15" customHeight="1" x14ac:dyDescent="0.2">
      <c r="B2650" s="250" t="s">
        <v>1069</v>
      </c>
      <c r="D2650" s="250" t="s">
        <v>114</v>
      </c>
      <c r="K2650" s="250">
        <v>1</v>
      </c>
      <c r="L2650" s="250">
        <v>44500</v>
      </c>
    </row>
    <row r="2651" spans="2:12" ht="15" customHeight="1" x14ac:dyDescent="0.2">
      <c r="B2651" s="250" t="s">
        <v>1070</v>
      </c>
      <c r="D2651" s="250" t="s">
        <v>114</v>
      </c>
      <c r="K2651" s="250">
        <v>1</v>
      </c>
      <c r="L2651" s="250">
        <v>51700</v>
      </c>
    </row>
    <row r="2652" spans="2:12" ht="15" customHeight="1" x14ac:dyDescent="0.2">
      <c r="B2652" s="250" t="s">
        <v>1071</v>
      </c>
      <c r="D2652" s="250" t="s">
        <v>114</v>
      </c>
      <c r="K2652" s="250">
        <v>1</v>
      </c>
      <c r="L2652" s="250">
        <v>63100</v>
      </c>
    </row>
    <row r="2653" spans="2:12" ht="15" customHeight="1" x14ac:dyDescent="0.2">
      <c r="B2653" s="250" t="s">
        <v>1072</v>
      </c>
      <c r="D2653" s="250" t="s">
        <v>114</v>
      </c>
      <c r="K2653" s="250">
        <v>1</v>
      </c>
      <c r="L2653" s="250">
        <v>79100</v>
      </c>
    </row>
    <row r="2654" spans="2:12" ht="15" customHeight="1" x14ac:dyDescent="0.2">
      <c r="B2654" s="250" t="s">
        <v>1073</v>
      </c>
      <c r="D2654" s="250" t="s">
        <v>114</v>
      </c>
      <c r="K2654" s="250">
        <v>1</v>
      </c>
      <c r="L2654" s="250">
        <v>4700</v>
      </c>
    </row>
    <row r="2655" spans="2:12" ht="15" customHeight="1" x14ac:dyDescent="0.2">
      <c r="B2655" s="250" t="s">
        <v>1074</v>
      </c>
      <c r="D2655" s="250" t="s">
        <v>114</v>
      </c>
      <c r="K2655" s="250">
        <v>1</v>
      </c>
      <c r="L2655" s="250">
        <v>6000</v>
      </c>
    </row>
    <row r="2656" spans="2:12" ht="15" customHeight="1" x14ac:dyDescent="0.2">
      <c r="B2656" s="250" t="s">
        <v>1075</v>
      </c>
      <c r="D2656" s="250" t="s">
        <v>114</v>
      </c>
      <c r="K2656" s="250">
        <v>1</v>
      </c>
      <c r="L2656" s="250">
        <v>7300</v>
      </c>
    </row>
    <row r="2657" spans="2:12" ht="15" customHeight="1" x14ac:dyDescent="0.2">
      <c r="B2657" s="250" t="s">
        <v>1076</v>
      </c>
      <c r="D2657" s="250" t="s">
        <v>114</v>
      </c>
      <c r="K2657" s="250">
        <v>1</v>
      </c>
      <c r="L2657" s="250">
        <v>8200</v>
      </c>
    </row>
    <row r="2658" spans="2:12" ht="15" customHeight="1" x14ac:dyDescent="0.2">
      <c r="B2658" s="250" t="s">
        <v>1077</v>
      </c>
      <c r="D2658" s="250" t="s">
        <v>114</v>
      </c>
      <c r="K2658" s="250">
        <v>1</v>
      </c>
      <c r="L2658" s="250">
        <v>9100</v>
      </c>
    </row>
    <row r="2659" spans="2:12" ht="15" customHeight="1" x14ac:dyDescent="0.2">
      <c r="B2659" s="250" t="s">
        <v>1078</v>
      </c>
      <c r="D2659" s="250" t="s">
        <v>114</v>
      </c>
      <c r="K2659" s="250">
        <v>1</v>
      </c>
      <c r="L2659" s="250">
        <v>10200</v>
      </c>
    </row>
    <row r="2660" spans="2:12" ht="15" customHeight="1" x14ac:dyDescent="0.2">
      <c r="B2660" s="250" t="s">
        <v>1079</v>
      </c>
      <c r="D2660" s="250" t="s">
        <v>114</v>
      </c>
      <c r="K2660" s="250">
        <v>1</v>
      </c>
      <c r="L2660" s="250">
        <v>11800</v>
      </c>
    </row>
    <row r="2661" spans="2:12" ht="15" customHeight="1" x14ac:dyDescent="0.2">
      <c r="B2661" s="250" t="s">
        <v>1080</v>
      </c>
      <c r="D2661" s="250" t="s">
        <v>114</v>
      </c>
      <c r="K2661" s="250">
        <v>1</v>
      </c>
      <c r="L2661" s="250">
        <v>13800</v>
      </c>
    </row>
    <row r="2662" spans="2:12" ht="15" customHeight="1" x14ac:dyDescent="0.2">
      <c r="B2662" s="250" t="s">
        <v>1081</v>
      </c>
      <c r="D2662" s="250" t="s">
        <v>114</v>
      </c>
      <c r="K2662" s="250">
        <v>1</v>
      </c>
      <c r="L2662" s="250">
        <v>16000</v>
      </c>
    </row>
    <row r="2663" spans="2:12" ht="15" customHeight="1" x14ac:dyDescent="0.2">
      <c r="B2663" s="250" t="s">
        <v>1082</v>
      </c>
      <c r="D2663" s="250" t="s">
        <v>114</v>
      </c>
      <c r="K2663" s="250">
        <v>1</v>
      </c>
      <c r="L2663" s="250">
        <v>18700</v>
      </c>
    </row>
    <row r="2664" spans="2:12" ht="15" customHeight="1" x14ac:dyDescent="0.2">
      <c r="B2664" s="250" t="s">
        <v>1083</v>
      </c>
      <c r="D2664" s="250" t="s">
        <v>114</v>
      </c>
      <c r="K2664" s="250">
        <v>1</v>
      </c>
      <c r="L2664" s="250">
        <v>21800</v>
      </c>
    </row>
    <row r="2665" spans="2:12" ht="15" customHeight="1" x14ac:dyDescent="0.2">
      <c r="B2665" s="250" t="s">
        <v>1084</v>
      </c>
      <c r="D2665" s="250" t="s">
        <v>114</v>
      </c>
      <c r="K2665" s="250">
        <v>1</v>
      </c>
      <c r="L2665" s="250">
        <v>26300</v>
      </c>
    </row>
    <row r="2666" spans="2:12" ht="15" customHeight="1" x14ac:dyDescent="0.2">
      <c r="B2666" s="250" t="s">
        <v>1085</v>
      </c>
      <c r="D2666" s="250" t="s">
        <v>114</v>
      </c>
      <c r="K2666" s="250">
        <v>1</v>
      </c>
      <c r="L2666" s="250">
        <v>31200</v>
      </c>
    </row>
    <row r="2667" spans="2:12" ht="15" customHeight="1" x14ac:dyDescent="0.2">
      <c r="B2667" s="250" t="s">
        <v>1086</v>
      </c>
      <c r="D2667" s="250" t="s">
        <v>114</v>
      </c>
      <c r="K2667" s="250">
        <v>1</v>
      </c>
      <c r="L2667" s="250">
        <v>36400</v>
      </c>
    </row>
    <row r="2668" spans="2:12" ht="15" customHeight="1" x14ac:dyDescent="0.2">
      <c r="B2668" s="250" t="s">
        <v>1087</v>
      </c>
      <c r="D2668" s="250" t="s">
        <v>114</v>
      </c>
      <c r="K2668" s="250">
        <v>1</v>
      </c>
      <c r="L2668" s="250">
        <v>42500</v>
      </c>
    </row>
    <row r="2669" spans="2:12" ht="15" customHeight="1" x14ac:dyDescent="0.2">
      <c r="B2669" s="250" t="s">
        <v>1088</v>
      </c>
      <c r="D2669" s="250" t="s">
        <v>114</v>
      </c>
      <c r="K2669" s="250">
        <v>1</v>
      </c>
      <c r="L2669" s="250">
        <v>50500</v>
      </c>
    </row>
    <row r="2670" spans="2:12" ht="15" customHeight="1" x14ac:dyDescent="0.2">
      <c r="B2670" s="250" t="s">
        <v>1089</v>
      </c>
      <c r="D2670" s="250" t="s">
        <v>114</v>
      </c>
      <c r="K2670" s="250">
        <v>1</v>
      </c>
      <c r="L2670" s="250">
        <v>59500</v>
      </c>
    </row>
    <row r="2671" spans="2:12" ht="15" customHeight="1" x14ac:dyDescent="0.2">
      <c r="B2671" s="250" t="s">
        <v>1090</v>
      </c>
      <c r="D2671" s="250" t="s">
        <v>114</v>
      </c>
      <c r="K2671" s="250">
        <v>1</v>
      </c>
      <c r="L2671" s="250">
        <v>7100</v>
      </c>
    </row>
    <row r="2672" spans="2:12" ht="15" customHeight="1" x14ac:dyDescent="0.2">
      <c r="B2672" s="250" t="s">
        <v>1091</v>
      </c>
      <c r="D2672" s="250" t="s">
        <v>114</v>
      </c>
      <c r="K2672" s="250">
        <v>1</v>
      </c>
      <c r="L2672" s="250">
        <v>9800</v>
      </c>
    </row>
    <row r="2673" spans="2:12" ht="15" customHeight="1" x14ac:dyDescent="0.2">
      <c r="B2673" s="250" t="s">
        <v>1092</v>
      </c>
      <c r="D2673" s="250" t="s">
        <v>114</v>
      </c>
      <c r="K2673" s="250">
        <v>1</v>
      </c>
      <c r="L2673" s="250">
        <v>12700</v>
      </c>
    </row>
    <row r="2674" spans="2:12" ht="15" customHeight="1" x14ac:dyDescent="0.2">
      <c r="B2674" s="250" t="s">
        <v>1093</v>
      </c>
      <c r="D2674" s="250" t="s">
        <v>114</v>
      </c>
      <c r="K2674" s="250">
        <v>1</v>
      </c>
      <c r="L2674" s="250">
        <v>13300</v>
      </c>
    </row>
    <row r="2675" spans="2:12" ht="15" customHeight="1" x14ac:dyDescent="0.2">
      <c r="B2675" s="250" t="s">
        <v>1094</v>
      </c>
      <c r="D2675" s="250" t="s">
        <v>114</v>
      </c>
      <c r="K2675" s="250">
        <v>1</v>
      </c>
      <c r="L2675" s="250">
        <v>14800</v>
      </c>
    </row>
    <row r="2676" spans="2:12" ht="15" customHeight="1" x14ac:dyDescent="0.2">
      <c r="B2676" s="250" t="s">
        <v>1095</v>
      </c>
      <c r="D2676" s="250" t="s">
        <v>114</v>
      </c>
      <c r="K2676" s="250">
        <v>1</v>
      </c>
      <c r="L2676" s="250">
        <v>17300</v>
      </c>
    </row>
    <row r="2677" spans="2:12" ht="15" customHeight="1" x14ac:dyDescent="0.2">
      <c r="B2677" s="250" t="s">
        <v>1096</v>
      </c>
      <c r="D2677" s="250" t="s">
        <v>114</v>
      </c>
      <c r="K2677" s="250">
        <v>1</v>
      </c>
      <c r="L2677" s="250">
        <v>19600</v>
      </c>
    </row>
    <row r="2678" spans="2:12" ht="15" customHeight="1" x14ac:dyDescent="0.2">
      <c r="B2678" s="250" t="s">
        <v>192</v>
      </c>
      <c r="D2678" s="250" t="s">
        <v>114</v>
      </c>
      <c r="K2678" s="250">
        <v>1</v>
      </c>
      <c r="L2678" s="250">
        <v>23700</v>
      </c>
    </row>
    <row r="2679" spans="2:12" ht="15" customHeight="1" x14ac:dyDescent="0.2">
      <c r="B2679" s="250" t="s">
        <v>199</v>
      </c>
      <c r="D2679" s="250" t="s">
        <v>114</v>
      </c>
      <c r="K2679" s="250">
        <v>1</v>
      </c>
      <c r="L2679" s="250">
        <v>27000</v>
      </c>
    </row>
    <row r="2680" spans="2:12" ht="15" customHeight="1" x14ac:dyDescent="0.2">
      <c r="B2680" s="250" t="s">
        <v>201</v>
      </c>
      <c r="D2680" s="250" t="s">
        <v>114</v>
      </c>
      <c r="K2680" s="250">
        <v>1</v>
      </c>
      <c r="L2680" s="250">
        <v>31400</v>
      </c>
    </row>
    <row r="2681" spans="2:12" ht="15" customHeight="1" x14ac:dyDescent="0.2">
      <c r="B2681" s="250" t="s">
        <v>202</v>
      </c>
      <c r="D2681" s="250" t="s">
        <v>114</v>
      </c>
      <c r="K2681" s="250">
        <v>1</v>
      </c>
      <c r="L2681" s="250">
        <v>35900</v>
      </c>
    </row>
    <row r="2682" spans="2:12" ht="15" customHeight="1" x14ac:dyDescent="0.2">
      <c r="B2682" s="250" t="s">
        <v>204</v>
      </c>
      <c r="D2682" s="250" t="s">
        <v>114</v>
      </c>
      <c r="K2682" s="250">
        <v>1</v>
      </c>
      <c r="L2682" s="250">
        <v>45100</v>
      </c>
    </row>
    <row r="2683" spans="2:12" ht="15" customHeight="1" x14ac:dyDescent="0.2">
      <c r="B2683" s="250" t="s">
        <v>207</v>
      </c>
      <c r="D2683" s="250" t="s">
        <v>114</v>
      </c>
      <c r="K2683" s="250">
        <v>1</v>
      </c>
      <c r="L2683" s="250">
        <v>53600</v>
      </c>
    </row>
    <row r="2684" spans="2:12" ht="15" customHeight="1" x14ac:dyDescent="0.2">
      <c r="B2684" s="250" t="s">
        <v>209</v>
      </c>
      <c r="D2684" s="250" t="s">
        <v>114</v>
      </c>
      <c r="K2684" s="250">
        <v>1</v>
      </c>
      <c r="L2684" s="250">
        <v>61400</v>
      </c>
    </row>
    <row r="2685" spans="2:12" ht="15" customHeight="1" x14ac:dyDescent="0.2">
      <c r="B2685" s="250" t="s">
        <v>1097</v>
      </c>
      <c r="D2685" s="250" t="s">
        <v>114</v>
      </c>
      <c r="K2685" s="250">
        <v>1</v>
      </c>
      <c r="L2685" s="250">
        <v>70600</v>
      </c>
    </row>
    <row r="2686" spans="2:12" ht="15" customHeight="1" x14ac:dyDescent="0.2">
      <c r="B2686" s="250" t="s">
        <v>1098</v>
      </c>
      <c r="D2686" s="250" t="s">
        <v>114</v>
      </c>
      <c r="K2686" s="250">
        <v>1</v>
      </c>
      <c r="L2686" s="250">
        <v>86000</v>
      </c>
    </row>
    <row r="2687" spans="2:12" ht="15" customHeight="1" x14ac:dyDescent="0.2">
      <c r="B2687" s="250" t="s">
        <v>1099</v>
      </c>
      <c r="D2687" s="250" t="s">
        <v>114</v>
      </c>
      <c r="K2687" s="250">
        <v>1</v>
      </c>
      <c r="L2687" s="250">
        <v>106400</v>
      </c>
    </row>
    <row r="2688" spans="2:12" ht="15" customHeight="1" x14ac:dyDescent="0.2">
      <c r="B2688" s="250" t="s">
        <v>1100</v>
      </c>
      <c r="D2688" s="250" t="s">
        <v>114</v>
      </c>
      <c r="K2688" s="250">
        <v>1</v>
      </c>
      <c r="L2688" s="250">
        <v>6000</v>
      </c>
    </row>
    <row r="2689" spans="2:12" ht="15" customHeight="1" x14ac:dyDescent="0.2">
      <c r="B2689" s="250" t="s">
        <v>1101</v>
      </c>
      <c r="D2689" s="250" t="s">
        <v>114</v>
      </c>
      <c r="K2689" s="250">
        <v>1</v>
      </c>
      <c r="L2689" s="250">
        <v>7700</v>
      </c>
    </row>
    <row r="2690" spans="2:12" ht="15" customHeight="1" x14ac:dyDescent="0.2">
      <c r="B2690" s="250" t="s">
        <v>1102</v>
      </c>
      <c r="D2690" s="250" t="s">
        <v>114</v>
      </c>
      <c r="K2690" s="250">
        <v>1</v>
      </c>
      <c r="L2690" s="250">
        <v>10200</v>
      </c>
    </row>
    <row r="2691" spans="2:12" ht="15" customHeight="1" x14ac:dyDescent="0.2">
      <c r="B2691" s="250" t="s">
        <v>1103</v>
      </c>
      <c r="D2691" s="250" t="s">
        <v>114</v>
      </c>
      <c r="K2691" s="250">
        <v>1</v>
      </c>
      <c r="L2691" s="250">
        <v>11100</v>
      </c>
    </row>
    <row r="2692" spans="2:12" ht="15" customHeight="1" x14ac:dyDescent="0.2">
      <c r="B2692" s="250" t="s">
        <v>1104</v>
      </c>
      <c r="D2692" s="250" t="s">
        <v>114</v>
      </c>
      <c r="K2692" s="250">
        <v>1</v>
      </c>
      <c r="L2692" s="250">
        <v>12400</v>
      </c>
    </row>
    <row r="2693" spans="2:12" ht="15" customHeight="1" x14ac:dyDescent="0.2">
      <c r="B2693" s="250" t="s">
        <v>1105</v>
      </c>
      <c r="D2693" s="250" t="s">
        <v>114</v>
      </c>
      <c r="K2693" s="250">
        <v>1</v>
      </c>
      <c r="L2693" s="250">
        <v>14500</v>
      </c>
    </row>
    <row r="2694" spans="2:12" ht="15" customHeight="1" x14ac:dyDescent="0.2">
      <c r="B2694" s="250" t="s">
        <v>1106</v>
      </c>
      <c r="D2694" s="250" t="s">
        <v>114</v>
      </c>
      <c r="K2694" s="250">
        <v>1</v>
      </c>
      <c r="L2694" s="250">
        <v>16500</v>
      </c>
    </row>
    <row r="2695" spans="2:12" ht="15" customHeight="1" x14ac:dyDescent="0.2">
      <c r="B2695" s="250" t="s">
        <v>1107</v>
      </c>
      <c r="D2695" s="250" t="s">
        <v>114</v>
      </c>
      <c r="K2695" s="250">
        <v>1</v>
      </c>
      <c r="L2695" s="250">
        <v>19200</v>
      </c>
    </row>
    <row r="2696" spans="2:12" ht="15" customHeight="1" x14ac:dyDescent="0.2">
      <c r="B2696" s="250" t="s">
        <v>1108</v>
      </c>
      <c r="D2696" s="250" t="s">
        <v>114</v>
      </c>
      <c r="K2696" s="250">
        <v>1</v>
      </c>
      <c r="L2696" s="250">
        <v>22400</v>
      </c>
    </row>
    <row r="2697" spans="2:12" ht="15" customHeight="1" x14ac:dyDescent="0.2">
      <c r="B2697" s="250" t="s">
        <v>1109</v>
      </c>
      <c r="D2697" s="250" t="s">
        <v>114</v>
      </c>
      <c r="K2697" s="250">
        <v>1</v>
      </c>
      <c r="L2697" s="250">
        <v>26100</v>
      </c>
    </row>
    <row r="2698" spans="2:12" ht="15" customHeight="1" x14ac:dyDescent="0.2">
      <c r="B2698" s="250" t="s">
        <v>215</v>
      </c>
      <c r="D2698" s="250" t="s">
        <v>114</v>
      </c>
      <c r="K2698" s="250">
        <v>1</v>
      </c>
      <c r="L2698" s="250">
        <v>30200</v>
      </c>
    </row>
    <row r="2699" spans="2:12" ht="15" customHeight="1" x14ac:dyDescent="0.2">
      <c r="B2699" s="250" t="s">
        <v>214</v>
      </c>
      <c r="D2699" s="250" t="s">
        <v>114</v>
      </c>
      <c r="K2699" s="250">
        <v>1</v>
      </c>
      <c r="L2699" s="250">
        <v>36900</v>
      </c>
    </row>
    <row r="2700" spans="2:12" ht="15" customHeight="1" x14ac:dyDescent="0.2">
      <c r="B2700" s="250" t="s">
        <v>1110</v>
      </c>
      <c r="D2700" s="250" t="s">
        <v>114</v>
      </c>
      <c r="K2700" s="250">
        <v>1</v>
      </c>
      <c r="L2700" s="250">
        <v>42900</v>
      </c>
    </row>
    <row r="2701" spans="2:12" ht="15" customHeight="1" x14ac:dyDescent="0.2">
      <c r="B2701" s="250" t="s">
        <v>1111</v>
      </c>
      <c r="D2701" s="250" t="s">
        <v>114</v>
      </c>
      <c r="K2701" s="250">
        <v>1</v>
      </c>
      <c r="L2701" s="250">
        <v>49500</v>
      </c>
    </row>
    <row r="2702" spans="2:12" ht="15" customHeight="1" x14ac:dyDescent="0.2">
      <c r="B2702" s="250" t="s">
        <v>1112</v>
      </c>
      <c r="D2702" s="250" t="s">
        <v>114</v>
      </c>
      <c r="K2702" s="250">
        <v>1</v>
      </c>
      <c r="L2702" s="250">
        <v>57300</v>
      </c>
    </row>
    <row r="2703" spans="2:12" ht="15" customHeight="1" x14ac:dyDescent="0.2">
      <c r="B2703" s="250" t="s">
        <v>1113</v>
      </c>
      <c r="D2703" s="250" t="s">
        <v>114</v>
      </c>
      <c r="K2703" s="250">
        <v>1</v>
      </c>
      <c r="L2703" s="250">
        <v>74400</v>
      </c>
    </row>
    <row r="2704" spans="2:12" ht="15" customHeight="1" x14ac:dyDescent="0.2">
      <c r="B2704" s="250" t="s">
        <v>1114</v>
      </c>
      <c r="D2704" s="250" t="s">
        <v>114</v>
      </c>
      <c r="K2704" s="250">
        <v>1</v>
      </c>
      <c r="L2704" s="250">
        <v>85100</v>
      </c>
    </row>
    <row r="2705" spans="2:12" ht="15" customHeight="1" x14ac:dyDescent="0.2">
      <c r="B2705" s="250" t="s">
        <v>1115</v>
      </c>
      <c r="D2705" s="250" t="s">
        <v>114</v>
      </c>
      <c r="K2705" s="250">
        <v>1</v>
      </c>
      <c r="L2705" s="250">
        <v>5000</v>
      </c>
    </row>
    <row r="2706" spans="2:12" ht="15" customHeight="1" x14ac:dyDescent="0.2">
      <c r="B2706" s="250" t="s">
        <v>1116</v>
      </c>
      <c r="D2706" s="250" t="s">
        <v>114</v>
      </c>
      <c r="K2706" s="250">
        <v>1</v>
      </c>
      <c r="L2706" s="250">
        <v>6300</v>
      </c>
    </row>
    <row r="2707" spans="2:12" ht="15" customHeight="1" x14ac:dyDescent="0.2">
      <c r="B2707" s="250" t="s">
        <v>1117</v>
      </c>
      <c r="D2707" s="250" t="s">
        <v>114</v>
      </c>
      <c r="K2707" s="250">
        <v>1</v>
      </c>
      <c r="L2707" s="250">
        <v>7900</v>
      </c>
    </row>
    <row r="2708" spans="2:12" ht="15" customHeight="1" x14ac:dyDescent="0.2">
      <c r="B2708" s="250" t="s">
        <v>1118</v>
      </c>
      <c r="D2708" s="250" t="s">
        <v>114</v>
      </c>
      <c r="K2708" s="250">
        <v>1</v>
      </c>
      <c r="L2708" s="250">
        <v>9100</v>
      </c>
    </row>
    <row r="2709" spans="2:12" ht="15" customHeight="1" x14ac:dyDescent="0.2">
      <c r="B2709" s="250" t="s">
        <v>1119</v>
      </c>
      <c r="D2709" s="250" t="s">
        <v>114</v>
      </c>
      <c r="K2709" s="250">
        <v>1</v>
      </c>
      <c r="L2709" s="250">
        <v>9900</v>
      </c>
    </row>
    <row r="2710" spans="2:12" ht="15" customHeight="1" x14ac:dyDescent="0.2">
      <c r="B2710" s="250" t="s">
        <v>1120</v>
      </c>
      <c r="D2710" s="250" t="s">
        <v>114</v>
      </c>
      <c r="K2710" s="250">
        <v>1</v>
      </c>
      <c r="L2710" s="250">
        <v>11400</v>
      </c>
    </row>
    <row r="2711" spans="2:12" ht="15" customHeight="1" x14ac:dyDescent="0.2">
      <c r="B2711" s="250" t="s">
        <v>1121</v>
      </c>
      <c r="D2711" s="250" t="s">
        <v>114</v>
      </c>
      <c r="K2711" s="250">
        <v>1</v>
      </c>
      <c r="L2711" s="250">
        <v>12800</v>
      </c>
    </row>
    <row r="2712" spans="2:12" ht="15" customHeight="1" x14ac:dyDescent="0.2">
      <c r="B2712" s="250" t="s">
        <v>1122</v>
      </c>
      <c r="D2712" s="250" t="s">
        <v>114</v>
      </c>
      <c r="K2712" s="250">
        <v>1</v>
      </c>
      <c r="L2712" s="250">
        <v>15100</v>
      </c>
    </row>
    <row r="2713" spans="2:12" ht="15" customHeight="1" x14ac:dyDescent="0.2">
      <c r="B2713" s="250" t="s">
        <v>1123</v>
      </c>
      <c r="D2713" s="250" t="s">
        <v>114</v>
      </c>
      <c r="K2713" s="250">
        <v>1</v>
      </c>
      <c r="L2713" s="250">
        <v>17400</v>
      </c>
    </row>
    <row r="2714" spans="2:12" ht="15" customHeight="1" x14ac:dyDescent="0.2">
      <c r="B2714" s="250" t="s">
        <v>1124</v>
      </c>
      <c r="D2714" s="250" t="s">
        <v>114</v>
      </c>
      <c r="K2714" s="250">
        <v>1</v>
      </c>
      <c r="L2714" s="250">
        <v>20400</v>
      </c>
    </row>
    <row r="2715" spans="2:12" ht="15" customHeight="1" x14ac:dyDescent="0.2">
      <c r="B2715" s="250" t="s">
        <v>1125</v>
      </c>
      <c r="D2715" s="250" t="s">
        <v>114</v>
      </c>
      <c r="K2715" s="250">
        <v>1</v>
      </c>
      <c r="L2715" s="250">
        <v>23700</v>
      </c>
    </row>
    <row r="2716" spans="2:12" ht="15" customHeight="1" x14ac:dyDescent="0.2">
      <c r="B2716" s="250" t="s">
        <v>180</v>
      </c>
      <c r="D2716" s="250" t="s">
        <v>114</v>
      </c>
      <c r="K2716" s="250">
        <v>1</v>
      </c>
      <c r="L2716" s="250">
        <v>28700</v>
      </c>
    </row>
    <row r="2717" spans="2:12" ht="15" customHeight="1" x14ac:dyDescent="0.2">
      <c r="B2717" s="250" t="s">
        <v>1126</v>
      </c>
      <c r="D2717" s="250" t="s">
        <v>114</v>
      </c>
      <c r="K2717" s="250">
        <v>1</v>
      </c>
      <c r="L2717" s="250">
        <v>35400</v>
      </c>
    </row>
    <row r="2718" spans="2:12" ht="15" customHeight="1" x14ac:dyDescent="0.2">
      <c r="B2718" s="250" t="s">
        <v>1127</v>
      </c>
      <c r="D2718" s="250" t="s">
        <v>114</v>
      </c>
      <c r="K2718" s="250">
        <v>1</v>
      </c>
      <c r="L2718" s="250">
        <v>40000</v>
      </c>
    </row>
    <row r="2719" spans="2:12" ht="15" customHeight="1" x14ac:dyDescent="0.2">
      <c r="B2719" s="250" t="s">
        <v>1128</v>
      </c>
      <c r="D2719" s="250" t="s">
        <v>114</v>
      </c>
      <c r="K2719" s="250">
        <v>1</v>
      </c>
      <c r="L2719" s="250">
        <v>46600</v>
      </c>
    </row>
    <row r="2720" spans="2:12" ht="15" customHeight="1" x14ac:dyDescent="0.2">
      <c r="B2720" s="250" t="s">
        <v>1129</v>
      </c>
      <c r="D2720" s="250" t="s">
        <v>114</v>
      </c>
      <c r="K2720" s="250">
        <v>1</v>
      </c>
      <c r="L2720" s="250">
        <v>54600</v>
      </c>
    </row>
    <row r="2721" spans="2:12" ht="15" customHeight="1" x14ac:dyDescent="0.2">
      <c r="B2721" s="250" t="s">
        <v>1130</v>
      </c>
      <c r="D2721" s="250" t="s">
        <v>114</v>
      </c>
      <c r="K2721" s="250">
        <v>1</v>
      </c>
      <c r="L2721" s="250">
        <v>64200</v>
      </c>
    </row>
    <row r="2722" spans="2:12" ht="15" customHeight="1" x14ac:dyDescent="0.2">
      <c r="B2722" s="250" t="s">
        <v>1131</v>
      </c>
      <c r="D2722" s="250" t="s">
        <v>114</v>
      </c>
      <c r="K2722" s="250">
        <v>1</v>
      </c>
      <c r="L2722" s="250">
        <v>10200</v>
      </c>
    </row>
    <row r="2723" spans="2:12" ht="15" customHeight="1" x14ac:dyDescent="0.2">
      <c r="B2723" s="250" t="s">
        <v>1132</v>
      </c>
      <c r="D2723" s="250" t="s">
        <v>114</v>
      </c>
      <c r="K2723" s="250">
        <v>1</v>
      </c>
      <c r="L2723" s="250">
        <v>12600</v>
      </c>
    </row>
    <row r="2724" spans="2:12" ht="15" customHeight="1" x14ac:dyDescent="0.2">
      <c r="B2724" s="250" t="s">
        <v>1133</v>
      </c>
      <c r="D2724" s="250" t="s">
        <v>114</v>
      </c>
      <c r="K2724" s="250">
        <v>1</v>
      </c>
      <c r="L2724" s="250">
        <v>15800</v>
      </c>
    </row>
    <row r="2725" spans="2:12" ht="15" customHeight="1" x14ac:dyDescent="0.2">
      <c r="B2725" s="250" t="s">
        <v>1134</v>
      </c>
      <c r="D2725" s="250" t="s">
        <v>114</v>
      </c>
      <c r="K2725" s="250">
        <v>1</v>
      </c>
      <c r="L2725" s="250">
        <v>17900</v>
      </c>
    </row>
    <row r="2726" spans="2:12" ht="15" customHeight="1" x14ac:dyDescent="0.2">
      <c r="B2726" s="250" t="s">
        <v>1135</v>
      </c>
      <c r="D2726" s="250" t="s">
        <v>114</v>
      </c>
      <c r="K2726" s="250">
        <v>1</v>
      </c>
      <c r="L2726" s="250">
        <v>20600</v>
      </c>
    </row>
    <row r="2727" spans="2:12" ht="15" customHeight="1" x14ac:dyDescent="0.2">
      <c r="B2727" s="250" t="s">
        <v>1136</v>
      </c>
      <c r="D2727" s="250" t="s">
        <v>114</v>
      </c>
      <c r="K2727" s="250">
        <v>1</v>
      </c>
      <c r="L2727" s="250">
        <v>24300</v>
      </c>
    </row>
    <row r="2728" spans="2:12" ht="15" customHeight="1" x14ac:dyDescent="0.2">
      <c r="B2728" s="250" t="s">
        <v>1137</v>
      </c>
      <c r="D2728" s="250" t="s">
        <v>114</v>
      </c>
      <c r="K2728" s="250">
        <v>1</v>
      </c>
      <c r="L2728" s="250">
        <v>28500</v>
      </c>
    </row>
    <row r="2729" spans="2:12" ht="15" customHeight="1" x14ac:dyDescent="0.2">
      <c r="B2729" s="250" t="s">
        <v>1138</v>
      </c>
      <c r="D2729" s="250" t="s">
        <v>114</v>
      </c>
      <c r="K2729" s="250">
        <v>1</v>
      </c>
      <c r="L2729" s="250">
        <v>34100</v>
      </c>
    </row>
    <row r="2730" spans="2:12" ht="15" customHeight="1" x14ac:dyDescent="0.2">
      <c r="B2730" s="250" t="s">
        <v>1139</v>
      </c>
      <c r="D2730" s="250" t="s">
        <v>114</v>
      </c>
      <c r="K2730" s="250">
        <v>1</v>
      </c>
      <c r="L2730" s="250">
        <v>39700</v>
      </c>
    </row>
    <row r="2731" spans="2:12" ht="15" customHeight="1" x14ac:dyDescent="0.2">
      <c r="B2731" s="250" t="s">
        <v>1140</v>
      </c>
      <c r="D2731" s="250" t="s">
        <v>114</v>
      </c>
      <c r="K2731" s="250">
        <v>1</v>
      </c>
      <c r="L2731" s="250">
        <v>44800</v>
      </c>
    </row>
    <row r="2732" spans="2:12" ht="15" customHeight="1" x14ac:dyDescent="0.2">
      <c r="B2732" s="250" t="s">
        <v>1141</v>
      </c>
      <c r="D2732" s="250" t="s">
        <v>114</v>
      </c>
      <c r="K2732" s="250">
        <v>1</v>
      </c>
      <c r="L2732" s="250">
        <v>51300</v>
      </c>
    </row>
    <row r="2733" spans="2:12" ht="15" customHeight="1" x14ac:dyDescent="0.2">
      <c r="B2733" s="250" t="s">
        <v>1142</v>
      </c>
      <c r="D2733" s="250" t="s">
        <v>114</v>
      </c>
      <c r="K2733" s="250">
        <v>1</v>
      </c>
      <c r="L2733" s="250">
        <v>61600</v>
      </c>
    </row>
    <row r="2734" spans="2:12" ht="15" customHeight="1" x14ac:dyDescent="0.2">
      <c r="B2734" s="250" t="s">
        <v>211</v>
      </c>
      <c r="D2734" s="250" t="s">
        <v>114</v>
      </c>
      <c r="K2734" s="250">
        <v>1</v>
      </c>
      <c r="L2734" s="250">
        <v>72000</v>
      </c>
    </row>
    <row r="2735" spans="2:12" ht="15" customHeight="1" x14ac:dyDescent="0.2">
      <c r="B2735" s="250" t="s">
        <v>1143</v>
      </c>
      <c r="D2735" s="250" t="s">
        <v>114</v>
      </c>
      <c r="K2735" s="250">
        <v>1</v>
      </c>
      <c r="L2735" s="250">
        <v>84400</v>
      </c>
    </row>
    <row r="2736" spans="2:12" ht="15" customHeight="1" x14ac:dyDescent="0.2">
      <c r="B2736" s="250" t="s">
        <v>210</v>
      </c>
      <c r="D2736" s="250" t="s">
        <v>114</v>
      </c>
      <c r="K2736" s="250">
        <v>1</v>
      </c>
      <c r="L2736" s="250">
        <v>98600</v>
      </c>
    </row>
    <row r="2737" spans="2:12" ht="15" customHeight="1" x14ac:dyDescent="0.2">
      <c r="B2737" s="250" t="s">
        <v>1144</v>
      </c>
      <c r="D2737" s="250" t="s">
        <v>114</v>
      </c>
      <c r="K2737" s="250">
        <v>1</v>
      </c>
      <c r="L2737" s="250">
        <v>119500</v>
      </c>
    </row>
    <row r="2738" spans="2:12" ht="15" customHeight="1" x14ac:dyDescent="0.2">
      <c r="B2738" s="250" t="s">
        <v>1145</v>
      </c>
      <c r="D2738" s="250" t="s">
        <v>114</v>
      </c>
      <c r="K2738" s="250">
        <v>1</v>
      </c>
      <c r="L2738" s="250">
        <v>140600</v>
      </c>
    </row>
    <row r="2739" spans="2:12" ht="15" customHeight="1" x14ac:dyDescent="0.2">
      <c r="B2739" s="250" t="s">
        <v>1146</v>
      </c>
      <c r="D2739" s="250" t="s">
        <v>114</v>
      </c>
      <c r="K2739" s="250">
        <v>1</v>
      </c>
      <c r="L2739" s="250">
        <v>170900</v>
      </c>
    </row>
    <row r="2740" spans="2:12" ht="15" customHeight="1" x14ac:dyDescent="0.2">
      <c r="B2740" s="250" t="s">
        <v>1147</v>
      </c>
      <c r="D2740" s="250" t="s">
        <v>114</v>
      </c>
      <c r="K2740" s="250">
        <v>1</v>
      </c>
      <c r="L2740" s="250">
        <v>8000</v>
      </c>
    </row>
    <row r="2741" spans="2:12" ht="15" customHeight="1" x14ac:dyDescent="0.2">
      <c r="B2741" s="250" t="s">
        <v>1148</v>
      </c>
      <c r="D2741" s="250" t="s">
        <v>114</v>
      </c>
      <c r="K2741" s="250">
        <v>1</v>
      </c>
      <c r="L2741" s="250">
        <v>9700</v>
      </c>
    </row>
    <row r="2742" spans="2:12" ht="15" customHeight="1" x14ac:dyDescent="0.2">
      <c r="B2742" s="250" t="s">
        <v>1149</v>
      </c>
      <c r="D2742" s="250" t="s">
        <v>114</v>
      </c>
      <c r="K2742" s="250">
        <v>1</v>
      </c>
      <c r="L2742" s="250">
        <v>13000</v>
      </c>
    </row>
    <row r="2743" spans="2:12" ht="15" customHeight="1" x14ac:dyDescent="0.2">
      <c r="B2743" s="250" t="s">
        <v>1150</v>
      </c>
      <c r="D2743" s="250" t="s">
        <v>114</v>
      </c>
      <c r="K2743" s="250">
        <v>1</v>
      </c>
      <c r="L2743" s="250">
        <v>14400</v>
      </c>
    </row>
    <row r="2744" spans="2:12" ht="15" customHeight="1" x14ac:dyDescent="0.2">
      <c r="B2744" s="250" t="s">
        <v>1151</v>
      </c>
      <c r="D2744" s="250" t="s">
        <v>114</v>
      </c>
      <c r="K2744" s="250">
        <v>1</v>
      </c>
      <c r="L2744" s="250">
        <v>16100</v>
      </c>
    </row>
    <row r="2745" spans="2:12" ht="15" customHeight="1" x14ac:dyDescent="0.2">
      <c r="B2745" s="250" t="s">
        <v>1152</v>
      </c>
      <c r="D2745" s="250" t="s">
        <v>114</v>
      </c>
      <c r="K2745" s="250">
        <v>1</v>
      </c>
      <c r="L2745" s="250">
        <v>18700</v>
      </c>
    </row>
    <row r="2746" spans="2:12" ht="15" customHeight="1" x14ac:dyDescent="0.2">
      <c r="B2746" s="250" t="s">
        <v>1153</v>
      </c>
      <c r="D2746" s="250" t="s">
        <v>114</v>
      </c>
      <c r="K2746" s="250">
        <v>1</v>
      </c>
      <c r="L2746" s="250">
        <v>23600</v>
      </c>
    </row>
    <row r="2747" spans="2:12" ht="15" customHeight="1" x14ac:dyDescent="0.2">
      <c r="B2747" s="250" t="s">
        <v>1154</v>
      </c>
      <c r="D2747" s="250" t="s">
        <v>114</v>
      </c>
      <c r="K2747" s="250">
        <v>1</v>
      </c>
      <c r="L2747" s="250">
        <v>28200</v>
      </c>
    </row>
    <row r="2748" spans="2:12" ht="15" customHeight="1" x14ac:dyDescent="0.2">
      <c r="B2748" s="250" t="s">
        <v>1155</v>
      </c>
      <c r="D2748" s="250" t="s">
        <v>114</v>
      </c>
      <c r="K2748" s="250">
        <v>1</v>
      </c>
      <c r="L2748" s="250">
        <v>32000</v>
      </c>
    </row>
    <row r="2749" spans="2:12" ht="15" customHeight="1" x14ac:dyDescent="0.2">
      <c r="B2749" s="250" t="s">
        <v>1156</v>
      </c>
      <c r="D2749" s="250" t="s">
        <v>114</v>
      </c>
      <c r="K2749" s="250">
        <v>1</v>
      </c>
      <c r="L2749" s="250">
        <v>40300</v>
      </c>
    </row>
    <row r="2750" spans="2:12" ht="15" customHeight="1" x14ac:dyDescent="0.2">
      <c r="B2750" s="250" t="s">
        <v>1157</v>
      </c>
      <c r="D2750" s="250" t="s">
        <v>114</v>
      </c>
      <c r="K2750" s="250">
        <v>1</v>
      </c>
      <c r="L2750" s="250">
        <v>43800</v>
      </c>
    </row>
    <row r="2751" spans="2:12" ht="15" customHeight="1" x14ac:dyDescent="0.2">
      <c r="B2751" s="250" t="s">
        <v>1158</v>
      </c>
      <c r="D2751" s="250" t="s">
        <v>114</v>
      </c>
      <c r="K2751" s="250">
        <v>1</v>
      </c>
      <c r="L2751" s="250">
        <v>50400</v>
      </c>
    </row>
    <row r="2752" spans="2:12" ht="15" customHeight="1" x14ac:dyDescent="0.2">
      <c r="B2752" s="250" t="s">
        <v>213</v>
      </c>
      <c r="D2752" s="250" t="s">
        <v>114</v>
      </c>
      <c r="K2752" s="250">
        <v>1</v>
      </c>
      <c r="L2752" s="250">
        <v>58800</v>
      </c>
    </row>
    <row r="2753" spans="2:12" ht="15" customHeight="1" x14ac:dyDescent="0.2">
      <c r="B2753" s="250" t="s">
        <v>1159</v>
      </c>
      <c r="D2753" s="250" t="s">
        <v>114</v>
      </c>
      <c r="K2753" s="250">
        <v>1</v>
      </c>
      <c r="L2753" s="250">
        <v>69600</v>
      </c>
    </row>
    <row r="2754" spans="2:12" ht="15" customHeight="1" x14ac:dyDescent="0.2">
      <c r="B2754" s="250" t="s">
        <v>212</v>
      </c>
      <c r="D2754" s="250" t="s">
        <v>114</v>
      </c>
      <c r="K2754" s="250">
        <v>1</v>
      </c>
      <c r="L2754" s="250">
        <v>80800</v>
      </c>
    </row>
    <row r="2755" spans="2:12" ht="15" customHeight="1" x14ac:dyDescent="0.2">
      <c r="B2755" s="250" t="s">
        <v>1160</v>
      </c>
      <c r="D2755" s="250" t="s">
        <v>114</v>
      </c>
      <c r="K2755" s="250">
        <v>1</v>
      </c>
      <c r="L2755" s="250">
        <v>101400</v>
      </c>
    </row>
    <row r="2756" spans="2:12" ht="15" customHeight="1" x14ac:dyDescent="0.2">
      <c r="B2756" s="250" t="s">
        <v>1161</v>
      </c>
      <c r="D2756" s="250" t="s">
        <v>114</v>
      </c>
      <c r="K2756" s="250">
        <v>1</v>
      </c>
      <c r="L2756" s="250">
        <v>117000</v>
      </c>
    </row>
    <row r="2757" spans="2:12" ht="15" customHeight="1" x14ac:dyDescent="0.2">
      <c r="B2757" s="250" t="s">
        <v>1162</v>
      </c>
      <c r="D2757" s="250" t="s">
        <v>114</v>
      </c>
      <c r="K2757" s="250">
        <v>1</v>
      </c>
      <c r="L2757" s="250">
        <v>143300</v>
      </c>
    </row>
    <row r="2758" spans="2:12" ht="15" customHeight="1" x14ac:dyDescent="0.2">
      <c r="B2758" s="250" t="s">
        <v>1163</v>
      </c>
      <c r="D2758" s="250" t="s">
        <v>114</v>
      </c>
      <c r="K2758" s="250">
        <v>1</v>
      </c>
      <c r="L2758" s="250">
        <v>8000</v>
      </c>
    </row>
    <row r="2759" spans="2:12" ht="15" customHeight="1" x14ac:dyDescent="0.2">
      <c r="B2759" s="250" t="s">
        <v>1164</v>
      </c>
      <c r="D2759" s="250" t="s">
        <v>114</v>
      </c>
      <c r="K2759" s="250">
        <v>1</v>
      </c>
      <c r="L2759" s="250">
        <v>9700</v>
      </c>
    </row>
    <row r="2760" spans="2:12" ht="15" customHeight="1" x14ac:dyDescent="0.2">
      <c r="B2760" s="250" t="s">
        <v>1165</v>
      </c>
      <c r="D2760" s="250" t="s">
        <v>114</v>
      </c>
      <c r="K2760" s="250">
        <v>1</v>
      </c>
      <c r="L2760" s="250">
        <v>13000</v>
      </c>
    </row>
    <row r="2761" spans="2:12" ht="15" customHeight="1" x14ac:dyDescent="0.2">
      <c r="B2761" s="250" t="s">
        <v>1166</v>
      </c>
      <c r="D2761" s="250" t="s">
        <v>114</v>
      </c>
      <c r="K2761" s="250">
        <v>1</v>
      </c>
      <c r="L2761" s="250">
        <v>14400</v>
      </c>
    </row>
    <row r="2762" spans="2:12" ht="15" customHeight="1" x14ac:dyDescent="0.2">
      <c r="B2762" s="250" t="s">
        <v>1167</v>
      </c>
      <c r="D2762" s="250" t="s">
        <v>114</v>
      </c>
      <c r="K2762" s="250">
        <v>1</v>
      </c>
      <c r="L2762" s="250">
        <v>16100</v>
      </c>
    </row>
    <row r="2763" spans="2:12" ht="15" customHeight="1" x14ac:dyDescent="0.2">
      <c r="B2763" s="250" t="s">
        <v>1168</v>
      </c>
      <c r="D2763" s="250" t="s">
        <v>114</v>
      </c>
      <c r="K2763" s="250">
        <v>1</v>
      </c>
      <c r="L2763" s="250">
        <v>18700</v>
      </c>
    </row>
    <row r="2764" spans="2:12" ht="15" customHeight="1" x14ac:dyDescent="0.2">
      <c r="B2764" s="250" t="s">
        <v>1169</v>
      </c>
      <c r="D2764" s="250" t="s">
        <v>114</v>
      </c>
      <c r="K2764" s="250">
        <v>1</v>
      </c>
      <c r="L2764" s="250">
        <v>20000</v>
      </c>
    </row>
    <row r="2765" spans="2:12" ht="15" customHeight="1" x14ac:dyDescent="0.2">
      <c r="B2765" s="250" t="s">
        <v>1170</v>
      </c>
      <c r="D2765" s="250" t="s">
        <v>114</v>
      </c>
      <c r="K2765" s="250">
        <v>1</v>
      </c>
      <c r="L2765" s="250">
        <v>22400</v>
      </c>
    </row>
    <row r="2766" spans="2:12" ht="15" customHeight="1" x14ac:dyDescent="0.2">
      <c r="B2766" s="250" t="s">
        <v>1171</v>
      </c>
      <c r="D2766" s="250" t="s">
        <v>114</v>
      </c>
      <c r="K2766" s="250">
        <v>1</v>
      </c>
      <c r="L2766" s="250">
        <v>26200</v>
      </c>
    </row>
    <row r="2767" spans="2:12" ht="15" customHeight="1" x14ac:dyDescent="0.2">
      <c r="B2767" s="250" t="s">
        <v>1172</v>
      </c>
      <c r="D2767" s="250" t="s">
        <v>114</v>
      </c>
      <c r="K2767" s="250">
        <v>1</v>
      </c>
      <c r="L2767" s="250">
        <v>29200</v>
      </c>
    </row>
    <row r="2768" spans="2:12" ht="15" customHeight="1" x14ac:dyDescent="0.2">
      <c r="B2768" s="250" t="s">
        <v>1173</v>
      </c>
      <c r="D2768" s="250" t="s">
        <v>114</v>
      </c>
      <c r="K2768" s="250">
        <v>1</v>
      </c>
      <c r="L2768" s="250">
        <v>32800</v>
      </c>
    </row>
    <row r="2769" spans="2:12" ht="15" customHeight="1" x14ac:dyDescent="0.2">
      <c r="B2769" s="250" t="s">
        <v>1174</v>
      </c>
      <c r="D2769" s="250" t="s">
        <v>114</v>
      </c>
      <c r="K2769" s="250">
        <v>1</v>
      </c>
      <c r="L2769" s="250">
        <v>37300</v>
      </c>
    </row>
    <row r="2770" spans="2:12" ht="15" customHeight="1" x14ac:dyDescent="0.2">
      <c r="B2770" s="250" t="s">
        <v>1175</v>
      </c>
      <c r="D2770" s="250" t="s">
        <v>114</v>
      </c>
      <c r="K2770" s="250">
        <v>1</v>
      </c>
      <c r="L2770" s="250">
        <v>44600</v>
      </c>
    </row>
    <row r="2771" spans="2:12" ht="15" customHeight="1" x14ac:dyDescent="0.2">
      <c r="B2771" s="250" t="s">
        <v>1176</v>
      </c>
      <c r="D2771" s="250" t="s">
        <v>114</v>
      </c>
      <c r="K2771" s="250">
        <v>1</v>
      </c>
      <c r="L2771" s="250">
        <v>52100</v>
      </c>
    </row>
    <row r="2772" spans="2:12" ht="15" customHeight="1" x14ac:dyDescent="0.2">
      <c r="B2772" s="250" t="s">
        <v>1177</v>
      </c>
      <c r="D2772" s="250" t="s">
        <v>114</v>
      </c>
      <c r="K2772" s="250">
        <v>1</v>
      </c>
      <c r="L2772" s="250">
        <v>59600</v>
      </c>
    </row>
    <row r="2773" spans="2:12" ht="15" customHeight="1" x14ac:dyDescent="0.2">
      <c r="B2773" s="250" t="s">
        <v>1178</v>
      </c>
      <c r="D2773" s="250" t="s">
        <v>114</v>
      </c>
      <c r="K2773" s="250">
        <v>1</v>
      </c>
      <c r="L2773" s="250">
        <v>70800</v>
      </c>
    </row>
    <row r="2774" spans="2:12" ht="15" customHeight="1" x14ac:dyDescent="0.2">
      <c r="B2774" s="250" t="s">
        <v>1179</v>
      </c>
      <c r="D2774" s="250" t="s">
        <v>114</v>
      </c>
      <c r="K2774" s="250">
        <v>1</v>
      </c>
      <c r="L2774" s="250">
        <v>83700</v>
      </c>
    </row>
    <row r="2775" spans="2:12" ht="15" customHeight="1" x14ac:dyDescent="0.2">
      <c r="B2775" s="250" t="s">
        <v>1180</v>
      </c>
      <c r="D2775" s="250" t="s">
        <v>114</v>
      </c>
      <c r="K2775" s="250">
        <v>1</v>
      </c>
      <c r="L2775" s="250">
        <v>100800</v>
      </c>
    </row>
    <row r="2776" spans="2:12" ht="15" customHeight="1" x14ac:dyDescent="0.2">
      <c r="B2776" s="250" t="s">
        <v>1181</v>
      </c>
      <c r="D2776" s="250" t="s">
        <v>114</v>
      </c>
      <c r="K2776" s="250">
        <v>1</v>
      </c>
      <c r="L2776" s="250">
        <f t="shared" ref="L2776:L2829" si="8">ROUND(L2722*1.08+20,-2)</f>
        <v>11000</v>
      </c>
    </row>
    <row r="2777" spans="2:12" ht="15" customHeight="1" x14ac:dyDescent="0.2">
      <c r="B2777" s="250" t="s">
        <v>156</v>
      </c>
      <c r="D2777" s="250" t="s">
        <v>114</v>
      </c>
      <c r="K2777" s="250">
        <v>1</v>
      </c>
      <c r="L2777" s="250">
        <f t="shared" si="8"/>
        <v>13600</v>
      </c>
    </row>
    <row r="2778" spans="2:12" ht="15" customHeight="1" x14ac:dyDescent="0.2">
      <c r="B2778" s="250" t="s">
        <v>1182</v>
      </c>
      <c r="D2778" s="250" t="s">
        <v>114</v>
      </c>
      <c r="K2778" s="250">
        <v>1</v>
      </c>
      <c r="L2778" s="250">
        <f t="shared" si="8"/>
        <v>17100</v>
      </c>
    </row>
    <row r="2779" spans="2:12" ht="15" customHeight="1" x14ac:dyDescent="0.2">
      <c r="B2779" s="250" t="s">
        <v>1183</v>
      </c>
      <c r="D2779" s="250" t="s">
        <v>114</v>
      </c>
      <c r="K2779" s="250">
        <v>1</v>
      </c>
      <c r="L2779" s="250">
        <f t="shared" si="8"/>
        <v>19400</v>
      </c>
    </row>
    <row r="2780" spans="2:12" ht="15" customHeight="1" x14ac:dyDescent="0.2">
      <c r="B2780" s="250" t="s">
        <v>1184</v>
      </c>
      <c r="D2780" s="250" t="s">
        <v>114</v>
      </c>
      <c r="K2780" s="250">
        <v>1</v>
      </c>
      <c r="L2780" s="250">
        <f t="shared" si="8"/>
        <v>22300</v>
      </c>
    </row>
    <row r="2781" spans="2:12" ht="15" customHeight="1" x14ac:dyDescent="0.2">
      <c r="B2781" s="250" t="s">
        <v>1185</v>
      </c>
      <c r="D2781" s="250" t="s">
        <v>114</v>
      </c>
      <c r="K2781" s="250">
        <v>1</v>
      </c>
      <c r="L2781" s="250">
        <f t="shared" si="8"/>
        <v>26300</v>
      </c>
    </row>
    <row r="2782" spans="2:12" ht="15" customHeight="1" x14ac:dyDescent="0.2">
      <c r="B2782" s="250" t="s">
        <v>1186</v>
      </c>
      <c r="D2782" s="250" t="s">
        <v>114</v>
      </c>
      <c r="K2782" s="250">
        <v>1</v>
      </c>
      <c r="L2782" s="250">
        <f t="shared" si="8"/>
        <v>30800</v>
      </c>
    </row>
    <row r="2783" spans="2:12" ht="15" customHeight="1" x14ac:dyDescent="0.2">
      <c r="B2783" s="250" t="s">
        <v>1187</v>
      </c>
      <c r="D2783" s="250" t="s">
        <v>114</v>
      </c>
      <c r="K2783" s="250">
        <v>1</v>
      </c>
      <c r="L2783" s="250">
        <f t="shared" si="8"/>
        <v>36800</v>
      </c>
    </row>
    <row r="2784" spans="2:12" ht="15" customHeight="1" x14ac:dyDescent="0.2">
      <c r="B2784" s="250" t="s">
        <v>1188</v>
      </c>
      <c r="D2784" s="250" t="s">
        <v>114</v>
      </c>
      <c r="K2784" s="250">
        <v>1</v>
      </c>
      <c r="L2784" s="250">
        <f t="shared" si="8"/>
        <v>42900</v>
      </c>
    </row>
    <row r="2785" spans="2:12" ht="15" customHeight="1" x14ac:dyDescent="0.2">
      <c r="B2785" s="250" t="s">
        <v>1189</v>
      </c>
      <c r="D2785" s="250" t="s">
        <v>114</v>
      </c>
      <c r="K2785" s="250">
        <v>1</v>
      </c>
      <c r="L2785" s="250">
        <f t="shared" si="8"/>
        <v>48400</v>
      </c>
    </row>
    <row r="2786" spans="2:12" ht="15" customHeight="1" x14ac:dyDescent="0.2">
      <c r="B2786" s="250" t="s">
        <v>1190</v>
      </c>
      <c r="D2786" s="250" t="s">
        <v>114</v>
      </c>
      <c r="K2786" s="250">
        <v>1</v>
      </c>
      <c r="L2786" s="250">
        <f t="shared" si="8"/>
        <v>55400</v>
      </c>
    </row>
    <row r="2787" spans="2:12" ht="15" customHeight="1" x14ac:dyDescent="0.2">
      <c r="B2787" s="250" t="s">
        <v>1191</v>
      </c>
      <c r="D2787" s="250" t="s">
        <v>114</v>
      </c>
      <c r="K2787" s="250">
        <v>1</v>
      </c>
      <c r="L2787" s="250">
        <f t="shared" si="8"/>
        <v>66500</v>
      </c>
    </row>
    <row r="2788" spans="2:12" ht="15" customHeight="1" x14ac:dyDescent="0.2">
      <c r="B2788" s="250" t="s">
        <v>1192</v>
      </c>
      <c r="D2788" s="250" t="s">
        <v>114</v>
      </c>
      <c r="K2788" s="250">
        <v>1</v>
      </c>
      <c r="L2788" s="250">
        <f t="shared" si="8"/>
        <v>77800</v>
      </c>
    </row>
    <row r="2789" spans="2:12" ht="15" customHeight="1" x14ac:dyDescent="0.2">
      <c r="B2789" s="250" t="s">
        <v>1193</v>
      </c>
      <c r="D2789" s="250" t="s">
        <v>114</v>
      </c>
      <c r="K2789" s="250">
        <v>1</v>
      </c>
      <c r="L2789" s="250">
        <f t="shared" si="8"/>
        <v>91200</v>
      </c>
    </row>
    <row r="2790" spans="2:12" ht="15" customHeight="1" x14ac:dyDescent="0.2">
      <c r="B2790" s="250" t="s">
        <v>1194</v>
      </c>
      <c r="D2790" s="250" t="s">
        <v>114</v>
      </c>
      <c r="K2790" s="250">
        <v>1</v>
      </c>
      <c r="L2790" s="250">
        <f t="shared" si="8"/>
        <v>106500</v>
      </c>
    </row>
    <row r="2791" spans="2:12" ht="15" customHeight="1" x14ac:dyDescent="0.2">
      <c r="B2791" s="250" t="s">
        <v>1195</v>
      </c>
      <c r="D2791" s="250" t="s">
        <v>114</v>
      </c>
      <c r="K2791" s="250">
        <v>1</v>
      </c>
      <c r="L2791" s="250">
        <f t="shared" si="8"/>
        <v>129100</v>
      </c>
    </row>
    <row r="2792" spans="2:12" ht="15" customHeight="1" x14ac:dyDescent="0.2">
      <c r="B2792" s="250" t="s">
        <v>1196</v>
      </c>
      <c r="D2792" s="250" t="s">
        <v>114</v>
      </c>
      <c r="K2792" s="250">
        <v>1</v>
      </c>
      <c r="L2792" s="250">
        <f t="shared" si="8"/>
        <v>151900</v>
      </c>
    </row>
    <row r="2793" spans="2:12" ht="15" customHeight="1" x14ac:dyDescent="0.2">
      <c r="B2793" s="250" t="s">
        <v>1197</v>
      </c>
      <c r="D2793" s="250" t="s">
        <v>114</v>
      </c>
      <c r="K2793" s="250">
        <v>1</v>
      </c>
      <c r="L2793" s="250">
        <f t="shared" si="8"/>
        <v>184600</v>
      </c>
    </row>
    <row r="2794" spans="2:12" ht="15" customHeight="1" x14ac:dyDescent="0.2">
      <c r="B2794" s="250" t="s">
        <v>1198</v>
      </c>
      <c r="D2794" s="250" t="s">
        <v>114</v>
      </c>
      <c r="K2794" s="250">
        <v>1</v>
      </c>
      <c r="L2794" s="250">
        <f t="shared" si="8"/>
        <v>8700</v>
      </c>
    </row>
    <row r="2795" spans="2:12" ht="15" customHeight="1" x14ac:dyDescent="0.2">
      <c r="B2795" s="250" t="s">
        <v>1199</v>
      </c>
      <c r="D2795" s="250" t="s">
        <v>114</v>
      </c>
      <c r="K2795" s="250">
        <v>1</v>
      </c>
      <c r="L2795" s="250">
        <f t="shared" si="8"/>
        <v>10500</v>
      </c>
    </row>
    <row r="2796" spans="2:12" ht="15" customHeight="1" x14ac:dyDescent="0.2">
      <c r="B2796" s="250" t="s">
        <v>1200</v>
      </c>
      <c r="D2796" s="250" t="s">
        <v>114</v>
      </c>
      <c r="K2796" s="250">
        <v>1</v>
      </c>
      <c r="L2796" s="250">
        <f t="shared" si="8"/>
        <v>14100</v>
      </c>
    </row>
    <row r="2797" spans="2:12" ht="15" customHeight="1" x14ac:dyDescent="0.2">
      <c r="B2797" s="250" t="s">
        <v>1201</v>
      </c>
      <c r="D2797" s="250" t="s">
        <v>114</v>
      </c>
      <c r="K2797" s="250">
        <v>1</v>
      </c>
      <c r="L2797" s="250">
        <f t="shared" si="8"/>
        <v>15600</v>
      </c>
    </row>
    <row r="2798" spans="2:12" ht="15" customHeight="1" x14ac:dyDescent="0.2">
      <c r="B2798" s="250" t="s">
        <v>1202</v>
      </c>
      <c r="D2798" s="250" t="s">
        <v>114</v>
      </c>
      <c r="K2798" s="250">
        <v>1</v>
      </c>
      <c r="L2798" s="250">
        <f t="shared" si="8"/>
        <v>17400</v>
      </c>
    </row>
    <row r="2799" spans="2:12" ht="15" customHeight="1" x14ac:dyDescent="0.2">
      <c r="B2799" s="250" t="s">
        <v>1203</v>
      </c>
      <c r="D2799" s="250" t="s">
        <v>114</v>
      </c>
      <c r="K2799" s="250">
        <v>1</v>
      </c>
      <c r="L2799" s="250">
        <f t="shared" si="8"/>
        <v>20200</v>
      </c>
    </row>
    <row r="2800" spans="2:12" ht="15" customHeight="1" x14ac:dyDescent="0.2">
      <c r="B2800" s="250" t="s">
        <v>1204</v>
      </c>
      <c r="D2800" s="250" t="s">
        <v>114</v>
      </c>
      <c r="K2800" s="250">
        <v>1</v>
      </c>
      <c r="L2800" s="250">
        <f t="shared" si="8"/>
        <v>25500</v>
      </c>
    </row>
    <row r="2801" spans="2:12" ht="15" customHeight="1" x14ac:dyDescent="0.2">
      <c r="B2801" s="250" t="s">
        <v>1205</v>
      </c>
      <c r="D2801" s="250" t="s">
        <v>114</v>
      </c>
      <c r="K2801" s="250">
        <v>1</v>
      </c>
      <c r="L2801" s="250">
        <f t="shared" si="8"/>
        <v>30500</v>
      </c>
    </row>
    <row r="2802" spans="2:12" ht="15" customHeight="1" x14ac:dyDescent="0.2">
      <c r="B2802" s="250" t="s">
        <v>1206</v>
      </c>
      <c r="D2802" s="250" t="s">
        <v>114</v>
      </c>
      <c r="K2802" s="250">
        <v>1</v>
      </c>
      <c r="L2802" s="250">
        <f t="shared" si="8"/>
        <v>34600</v>
      </c>
    </row>
    <row r="2803" spans="2:12" ht="15" customHeight="1" x14ac:dyDescent="0.2">
      <c r="B2803" s="250" t="s">
        <v>1207</v>
      </c>
      <c r="D2803" s="250" t="s">
        <v>114</v>
      </c>
      <c r="K2803" s="250">
        <v>1</v>
      </c>
      <c r="L2803" s="250">
        <f t="shared" si="8"/>
        <v>43500</v>
      </c>
    </row>
    <row r="2804" spans="2:12" ht="15" customHeight="1" x14ac:dyDescent="0.2">
      <c r="B2804" s="250" t="s">
        <v>1208</v>
      </c>
      <c r="D2804" s="250" t="s">
        <v>114</v>
      </c>
      <c r="K2804" s="250">
        <v>1</v>
      </c>
      <c r="L2804" s="250">
        <f t="shared" si="8"/>
        <v>47300</v>
      </c>
    </row>
    <row r="2805" spans="2:12" ht="15" customHeight="1" x14ac:dyDescent="0.2">
      <c r="B2805" s="250" t="s">
        <v>1209</v>
      </c>
      <c r="D2805" s="250" t="s">
        <v>114</v>
      </c>
      <c r="K2805" s="250">
        <v>1</v>
      </c>
      <c r="L2805" s="250">
        <f t="shared" si="8"/>
        <v>54500</v>
      </c>
    </row>
    <row r="2806" spans="2:12" ht="15" customHeight="1" x14ac:dyDescent="0.2">
      <c r="B2806" s="250" t="s">
        <v>1210</v>
      </c>
      <c r="D2806" s="250" t="s">
        <v>114</v>
      </c>
      <c r="K2806" s="250">
        <v>1</v>
      </c>
      <c r="L2806" s="250">
        <f t="shared" si="8"/>
        <v>63500</v>
      </c>
    </row>
    <row r="2807" spans="2:12" ht="15" customHeight="1" x14ac:dyDescent="0.2">
      <c r="B2807" s="250" t="s">
        <v>1211</v>
      </c>
      <c r="D2807" s="250" t="s">
        <v>114</v>
      </c>
      <c r="K2807" s="250">
        <v>1</v>
      </c>
      <c r="L2807" s="250">
        <f t="shared" si="8"/>
        <v>75200</v>
      </c>
    </row>
    <row r="2808" spans="2:12" ht="15" customHeight="1" x14ac:dyDescent="0.2">
      <c r="B2808" s="250" t="s">
        <v>1212</v>
      </c>
      <c r="D2808" s="250" t="s">
        <v>114</v>
      </c>
      <c r="K2808" s="250">
        <v>1</v>
      </c>
      <c r="L2808" s="250">
        <f t="shared" si="8"/>
        <v>87300</v>
      </c>
    </row>
    <row r="2809" spans="2:12" ht="15" customHeight="1" x14ac:dyDescent="0.2">
      <c r="B2809" s="250" t="s">
        <v>1213</v>
      </c>
      <c r="D2809" s="250" t="s">
        <v>114</v>
      </c>
      <c r="K2809" s="250">
        <v>1</v>
      </c>
      <c r="L2809" s="250">
        <f t="shared" si="8"/>
        <v>109500</v>
      </c>
    </row>
    <row r="2810" spans="2:12" ht="15" customHeight="1" x14ac:dyDescent="0.2">
      <c r="B2810" s="250" t="s">
        <v>1214</v>
      </c>
      <c r="D2810" s="250" t="s">
        <v>114</v>
      </c>
      <c r="K2810" s="250">
        <v>1</v>
      </c>
      <c r="L2810" s="250">
        <f t="shared" si="8"/>
        <v>126400</v>
      </c>
    </row>
    <row r="2811" spans="2:12" ht="15" customHeight="1" x14ac:dyDescent="0.2">
      <c r="B2811" s="250" t="s">
        <v>1215</v>
      </c>
      <c r="D2811" s="250" t="s">
        <v>114</v>
      </c>
      <c r="K2811" s="250">
        <v>1</v>
      </c>
      <c r="L2811" s="250">
        <f t="shared" si="8"/>
        <v>154800</v>
      </c>
    </row>
    <row r="2812" spans="2:12" ht="15" customHeight="1" x14ac:dyDescent="0.2">
      <c r="B2812" s="250" t="s">
        <v>1216</v>
      </c>
      <c r="D2812" s="250" t="s">
        <v>114</v>
      </c>
      <c r="K2812" s="250">
        <v>1</v>
      </c>
      <c r="L2812" s="250">
        <f t="shared" si="8"/>
        <v>8700</v>
      </c>
    </row>
    <row r="2813" spans="2:12" ht="15" customHeight="1" x14ac:dyDescent="0.2">
      <c r="B2813" s="250" t="s">
        <v>1217</v>
      </c>
      <c r="D2813" s="250" t="s">
        <v>114</v>
      </c>
      <c r="K2813" s="250">
        <v>1</v>
      </c>
      <c r="L2813" s="250">
        <f t="shared" si="8"/>
        <v>10500</v>
      </c>
    </row>
    <row r="2814" spans="2:12" ht="15" customHeight="1" x14ac:dyDescent="0.2">
      <c r="B2814" s="250" t="s">
        <v>1218</v>
      </c>
      <c r="D2814" s="250" t="s">
        <v>114</v>
      </c>
      <c r="K2814" s="250">
        <v>1</v>
      </c>
      <c r="L2814" s="250">
        <f t="shared" si="8"/>
        <v>14100</v>
      </c>
    </row>
    <row r="2815" spans="2:12" ht="15" customHeight="1" x14ac:dyDescent="0.2">
      <c r="B2815" s="250" t="s">
        <v>1219</v>
      </c>
      <c r="D2815" s="250" t="s">
        <v>114</v>
      </c>
      <c r="K2815" s="250">
        <v>1</v>
      </c>
      <c r="L2815" s="250">
        <f t="shared" si="8"/>
        <v>15600</v>
      </c>
    </row>
    <row r="2816" spans="2:12" ht="15" customHeight="1" x14ac:dyDescent="0.2">
      <c r="B2816" s="250" t="s">
        <v>1220</v>
      </c>
      <c r="D2816" s="250" t="s">
        <v>114</v>
      </c>
      <c r="K2816" s="250">
        <v>1</v>
      </c>
      <c r="L2816" s="250">
        <f t="shared" si="8"/>
        <v>17400</v>
      </c>
    </row>
    <row r="2817" spans="2:12" ht="15" customHeight="1" x14ac:dyDescent="0.2">
      <c r="B2817" s="250" t="s">
        <v>1221</v>
      </c>
      <c r="D2817" s="250" t="s">
        <v>114</v>
      </c>
      <c r="K2817" s="250">
        <v>1</v>
      </c>
      <c r="L2817" s="250">
        <f t="shared" si="8"/>
        <v>20200</v>
      </c>
    </row>
    <row r="2818" spans="2:12" ht="15" customHeight="1" x14ac:dyDescent="0.2">
      <c r="B2818" s="250" t="s">
        <v>1222</v>
      </c>
      <c r="D2818" s="250" t="s">
        <v>114</v>
      </c>
      <c r="K2818" s="250">
        <v>1</v>
      </c>
      <c r="L2818" s="250">
        <f t="shared" si="8"/>
        <v>21600</v>
      </c>
    </row>
    <row r="2819" spans="2:12" ht="15" customHeight="1" x14ac:dyDescent="0.2">
      <c r="B2819" s="250" t="s">
        <v>1223</v>
      </c>
      <c r="D2819" s="250" t="s">
        <v>114</v>
      </c>
      <c r="K2819" s="250">
        <v>1</v>
      </c>
      <c r="L2819" s="250">
        <f t="shared" si="8"/>
        <v>24200</v>
      </c>
    </row>
    <row r="2820" spans="2:12" ht="15" customHeight="1" x14ac:dyDescent="0.2">
      <c r="B2820" s="250" t="s">
        <v>1224</v>
      </c>
      <c r="D2820" s="250" t="s">
        <v>114</v>
      </c>
      <c r="K2820" s="250">
        <v>1</v>
      </c>
      <c r="L2820" s="250">
        <f t="shared" si="8"/>
        <v>28300</v>
      </c>
    </row>
    <row r="2821" spans="2:12" ht="15" customHeight="1" x14ac:dyDescent="0.2">
      <c r="B2821" s="250" t="s">
        <v>1225</v>
      </c>
      <c r="D2821" s="250" t="s">
        <v>114</v>
      </c>
      <c r="K2821" s="250">
        <v>1</v>
      </c>
      <c r="L2821" s="250">
        <f t="shared" si="8"/>
        <v>31600</v>
      </c>
    </row>
    <row r="2822" spans="2:12" ht="15" customHeight="1" x14ac:dyDescent="0.2">
      <c r="B2822" s="250" t="s">
        <v>1226</v>
      </c>
      <c r="D2822" s="250" t="s">
        <v>114</v>
      </c>
      <c r="K2822" s="250">
        <v>1</v>
      </c>
      <c r="L2822" s="250">
        <f t="shared" si="8"/>
        <v>35400</v>
      </c>
    </row>
    <row r="2823" spans="2:12" ht="15" customHeight="1" x14ac:dyDescent="0.2">
      <c r="B2823" s="250" t="s">
        <v>1227</v>
      </c>
      <c r="D2823" s="250" t="s">
        <v>114</v>
      </c>
      <c r="K2823" s="250">
        <v>1</v>
      </c>
      <c r="L2823" s="250">
        <f t="shared" si="8"/>
        <v>40300</v>
      </c>
    </row>
    <row r="2824" spans="2:12" ht="15" customHeight="1" x14ac:dyDescent="0.2">
      <c r="B2824" s="250" t="s">
        <v>1228</v>
      </c>
      <c r="D2824" s="250" t="s">
        <v>114</v>
      </c>
      <c r="K2824" s="250">
        <v>1</v>
      </c>
      <c r="L2824" s="250">
        <f t="shared" si="8"/>
        <v>48200</v>
      </c>
    </row>
    <row r="2825" spans="2:12" ht="15" customHeight="1" x14ac:dyDescent="0.2">
      <c r="B2825" s="250" t="s">
        <v>1229</v>
      </c>
      <c r="D2825" s="250" t="s">
        <v>114</v>
      </c>
      <c r="K2825" s="250">
        <v>1</v>
      </c>
      <c r="L2825" s="250">
        <f t="shared" si="8"/>
        <v>56300</v>
      </c>
    </row>
    <row r="2826" spans="2:12" ht="15" customHeight="1" x14ac:dyDescent="0.2">
      <c r="B2826" s="250" t="s">
        <v>1230</v>
      </c>
      <c r="D2826" s="250" t="s">
        <v>114</v>
      </c>
      <c r="K2826" s="250">
        <v>1</v>
      </c>
      <c r="L2826" s="250">
        <f t="shared" si="8"/>
        <v>64400</v>
      </c>
    </row>
    <row r="2827" spans="2:12" ht="15" customHeight="1" x14ac:dyDescent="0.2">
      <c r="B2827" s="250" t="s">
        <v>1231</v>
      </c>
      <c r="D2827" s="250" t="s">
        <v>114</v>
      </c>
      <c r="K2827" s="250">
        <v>1</v>
      </c>
      <c r="L2827" s="250">
        <f t="shared" si="8"/>
        <v>76500</v>
      </c>
    </row>
    <row r="2828" spans="2:12" ht="15" customHeight="1" x14ac:dyDescent="0.2">
      <c r="B2828" s="250" t="s">
        <v>1232</v>
      </c>
      <c r="D2828" s="250" t="s">
        <v>114</v>
      </c>
      <c r="K2828" s="250">
        <v>1</v>
      </c>
      <c r="L2828" s="250">
        <f t="shared" si="8"/>
        <v>90400</v>
      </c>
    </row>
    <row r="2829" spans="2:12" ht="15" customHeight="1" x14ac:dyDescent="0.2">
      <c r="B2829" s="250" t="s">
        <v>1233</v>
      </c>
      <c r="D2829" s="250" t="s">
        <v>114</v>
      </c>
      <c r="K2829" s="250">
        <v>1</v>
      </c>
      <c r="L2829" s="250">
        <f t="shared" si="8"/>
        <v>108900</v>
      </c>
    </row>
    <row r="2830" spans="2:12" ht="15" customHeight="1" x14ac:dyDescent="0.2">
      <c r="B2830" s="250" t="s">
        <v>1234</v>
      </c>
      <c r="D2830" s="250" t="s">
        <v>1235</v>
      </c>
      <c r="K2830" s="250">
        <v>1</v>
      </c>
      <c r="L2830" s="250">
        <v>1500</v>
      </c>
    </row>
    <row r="2831" spans="2:12" ht="15" customHeight="1" x14ac:dyDescent="0.2">
      <c r="B2831" s="250" t="s">
        <v>1236</v>
      </c>
      <c r="D2831" s="250" t="s">
        <v>1235</v>
      </c>
      <c r="K2831" s="250">
        <v>1</v>
      </c>
      <c r="L2831" s="250">
        <v>1500</v>
      </c>
    </row>
    <row r="2832" spans="2:12" ht="15" customHeight="1" x14ac:dyDescent="0.2">
      <c r="B2832" s="250" t="s">
        <v>1237</v>
      </c>
      <c r="D2832" s="250" t="s">
        <v>1235</v>
      </c>
      <c r="K2832" s="250">
        <v>1</v>
      </c>
      <c r="L2832" s="250">
        <v>1600</v>
      </c>
    </row>
    <row r="2833" spans="2:12" ht="15" customHeight="1" x14ac:dyDescent="0.2">
      <c r="B2833" s="250" t="s">
        <v>1238</v>
      </c>
      <c r="D2833" s="250" t="s">
        <v>1235</v>
      </c>
      <c r="K2833" s="250">
        <v>1</v>
      </c>
      <c r="L2833" s="250">
        <v>1800</v>
      </c>
    </row>
    <row r="2834" spans="2:12" ht="15" customHeight="1" x14ac:dyDescent="0.2">
      <c r="B2834" s="250" t="s">
        <v>1239</v>
      </c>
      <c r="D2834" s="250" t="s">
        <v>1235</v>
      </c>
      <c r="K2834" s="250">
        <v>1</v>
      </c>
      <c r="L2834" s="250">
        <v>1900</v>
      </c>
    </row>
    <row r="2835" spans="2:12" ht="15" customHeight="1" x14ac:dyDescent="0.2">
      <c r="B2835" s="250" t="s">
        <v>1240</v>
      </c>
      <c r="D2835" s="250" t="s">
        <v>1235</v>
      </c>
      <c r="K2835" s="250">
        <v>1</v>
      </c>
      <c r="L2835" s="250">
        <v>2200</v>
      </c>
    </row>
    <row r="2836" spans="2:12" ht="15" customHeight="1" x14ac:dyDescent="0.2">
      <c r="B2836" s="250" t="s">
        <v>1241</v>
      </c>
      <c r="D2836" s="250" t="s">
        <v>1235</v>
      </c>
      <c r="K2836" s="250">
        <v>1</v>
      </c>
      <c r="L2836" s="250">
        <v>2300</v>
      </c>
    </row>
    <row r="2837" spans="2:12" ht="15" customHeight="1" x14ac:dyDescent="0.2">
      <c r="B2837" s="250" t="s">
        <v>1242</v>
      </c>
      <c r="D2837" s="250" t="s">
        <v>1235</v>
      </c>
      <c r="K2837" s="250">
        <v>1</v>
      </c>
      <c r="L2837" s="250">
        <v>2400</v>
      </c>
    </row>
    <row r="2838" spans="2:12" ht="15" customHeight="1" x14ac:dyDescent="0.2">
      <c r="B2838" s="250" t="s">
        <v>1243</v>
      </c>
      <c r="D2838" s="250" t="s">
        <v>1235</v>
      </c>
      <c r="K2838" s="250">
        <v>1</v>
      </c>
      <c r="L2838" s="250">
        <v>2600</v>
      </c>
    </row>
    <row r="2839" spans="2:12" ht="15" customHeight="1" x14ac:dyDescent="0.2">
      <c r="B2839" s="250" t="s">
        <v>1244</v>
      </c>
      <c r="D2839" s="250" t="s">
        <v>1235</v>
      </c>
      <c r="K2839" s="250">
        <v>1</v>
      </c>
      <c r="L2839" s="250">
        <v>3000</v>
      </c>
    </row>
    <row r="2840" spans="2:12" ht="15" customHeight="1" x14ac:dyDescent="0.2">
      <c r="B2840" s="250" t="s">
        <v>1245</v>
      </c>
      <c r="D2840" s="250" t="s">
        <v>1235</v>
      </c>
      <c r="K2840" s="250">
        <v>1</v>
      </c>
      <c r="L2840" s="250">
        <v>3100</v>
      </c>
    </row>
    <row r="2841" spans="2:12" ht="15" customHeight="1" x14ac:dyDescent="0.2">
      <c r="B2841" s="250" t="s">
        <v>1246</v>
      </c>
      <c r="D2841" s="250" t="s">
        <v>1235</v>
      </c>
      <c r="K2841" s="250">
        <v>1</v>
      </c>
      <c r="L2841" s="250">
        <v>3200</v>
      </c>
    </row>
    <row r="2842" spans="2:12" ht="15" customHeight="1" x14ac:dyDescent="0.2">
      <c r="B2842" s="250" t="s">
        <v>1247</v>
      </c>
      <c r="D2842" s="250" t="s">
        <v>1235</v>
      </c>
      <c r="K2842" s="250">
        <v>1</v>
      </c>
      <c r="L2842" s="250">
        <v>3600</v>
      </c>
    </row>
    <row r="2843" spans="2:12" ht="15" customHeight="1" x14ac:dyDescent="0.2">
      <c r="B2843" s="250" t="s">
        <v>1248</v>
      </c>
      <c r="D2843" s="250" t="s">
        <v>1235</v>
      </c>
      <c r="K2843" s="250">
        <v>1</v>
      </c>
      <c r="L2843" s="250">
        <v>3800</v>
      </c>
    </row>
    <row r="2844" spans="2:12" ht="15" customHeight="1" x14ac:dyDescent="0.2">
      <c r="B2844" s="250" t="s">
        <v>1249</v>
      </c>
      <c r="D2844" s="250" t="s">
        <v>1235</v>
      </c>
      <c r="K2844" s="250">
        <v>1</v>
      </c>
      <c r="L2844" s="250">
        <v>3900</v>
      </c>
    </row>
    <row r="2845" spans="2:12" ht="15" customHeight="1" x14ac:dyDescent="0.2">
      <c r="B2845" s="250" t="s">
        <v>1250</v>
      </c>
      <c r="D2845" s="250" t="s">
        <v>1235</v>
      </c>
      <c r="K2845" s="250">
        <v>1</v>
      </c>
      <c r="L2845" s="250">
        <v>4400</v>
      </c>
    </row>
    <row r="2846" spans="2:12" ht="15" customHeight="1" x14ac:dyDescent="0.2">
      <c r="B2846" s="250" t="s">
        <v>1251</v>
      </c>
      <c r="D2846" s="250" t="s">
        <v>1235</v>
      </c>
      <c r="K2846" s="250">
        <v>1</v>
      </c>
      <c r="L2846" s="250">
        <v>4800</v>
      </c>
    </row>
    <row r="2847" spans="2:12" ht="15" customHeight="1" x14ac:dyDescent="0.2">
      <c r="B2847" s="250" t="s">
        <v>1252</v>
      </c>
      <c r="D2847" s="250" t="s">
        <v>1235</v>
      </c>
      <c r="K2847" s="250">
        <v>1</v>
      </c>
      <c r="L2847" s="250">
        <v>5100</v>
      </c>
    </row>
    <row r="2848" spans="2:12" ht="15" customHeight="1" x14ac:dyDescent="0.2">
      <c r="B2848" s="250" t="s">
        <v>1253</v>
      </c>
      <c r="D2848" s="250" t="s">
        <v>1235</v>
      </c>
      <c r="K2848" s="250">
        <v>1</v>
      </c>
      <c r="L2848" s="250">
        <v>2100</v>
      </c>
    </row>
    <row r="2849" spans="2:12" ht="15" customHeight="1" x14ac:dyDescent="0.2">
      <c r="B2849" s="250" t="s">
        <v>1254</v>
      </c>
      <c r="D2849" s="250" t="s">
        <v>1235</v>
      </c>
      <c r="K2849" s="250">
        <v>1</v>
      </c>
      <c r="L2849" s="250">
        <v>2100</v>
      </c>
    </row>
    <row r="2850" spans="2:12" ht="15" customHeight="1" x14ac:dyDescent="0.2">
      <c r="B2850" s="250" t="s">
        <v>1255</v>
      </c>
      <c r="D2850" s="250" t="s">
        <v>1235</v>
      </c>
      <c r="K2850" s="250">
        <v>1</v>
      </c>
      <c r="L2850" s="250">
        <v>2400</v>
      </c>
    </row>
    <row r="2851" spans="2:12" ht="15" customHeight="1" x14ac:dyDescent="0.2">
      <c r="B2851" s="250" t="s">
        <v>1256</v>
      </c>
      <c r="D2851" s="250" t="s">
        <v>1235</v>
      </c>
      <c r="K2851" s="250">
        <v>1</v>
      </c>
      <c r="L2851" s="250">
        <v>2600</v>
      </c>
    </row>
    <row r="2852" spans="2:12" ht="15" customHeight="1" x14ac:dyDescent="0.2">
      <c r="B2852" s="250" t="s">
        <v>1257</v>
      </c>
      <c r="D2852" s="250" t="s">
        <v>1235</v>
      </c>
      <c r="K2852" s="250">
        <v>1</v>
      </c>
      <c r="L2852" s="250">
        <v>2700</v>
      </c>
    </row>
    <row r="2853" spans="2:12" ht="15" customHeight="1" x14ac:dyDescent="0.2">
      <c r="B2853" s="250" t="s">
        <v>1258</v>
      </c>
      <c r="D2853" s="250" t="s">
        <v>1235</v>
      </c>
      <c r="K2853" s="250">
        <v>1</v>
      </c>
      <c r="L2853" s="250">
        <v>3100</v>
      </c>
    </row>
    <row r="2854" spans="2:12" ht="15" customHeight="1" x14ac:dyDescent="0.2">
      <c r="B2854" s="250" t="s">
        <v>1259</v>
      </c>
      <c r="D2854" s="250" t="s">
        <v>1235</v>
      </c>
      <c r="K2854" s="250">
        <v>1</v>
      </c>
      <c r="L2854" s="250">
        <v>3300</v>
      </c>
    </row>
    <row r="2855" spans="2:12" ht="15" customHeight="1" x14ac:dyDescent="0.2">
      <c r="B2855" s="250" t="s">
        <v>1260</v>
      </c>
      <c r="D2855" s="250" t="s">
        <v>1235</v>
      </c>
      <c r="K2855" s="250">
        <v>1</v>
      </c>
      <c r="L2855" s="250">
        <v>3500</v>
      </c>
    </row>
    <row r="2856" spans="2:12" ht="15" customHeight="1" x14ac:dyDescent="0.2">
      <c r="B2856" s="250" t="s">
        <v>1261</v>
      </c>
      <c r="D2856" s="250" t="s">
        <v>1235</v>
      </c>
      <c r="K2856" s="250">
        <v>1</v>
      </c>
      <c r="L2856" s="250">
        <v>3800</v>
      </c>
    </row>
    <row r="2857" spans="2:12" ht="15" customHeight="1" x14ac:dyDescent="0.2">
      <c r="B2857" s="250" t="s">
        <v>1262</v>
      </c>
      <c r="D2857" s="250" t="s">
        <v>1235</v>
      </c>
      <c r="K2857" s="250">
        <v>1</v>
      </c>
      <c r="L2857" s="250">
        <v>4300</v>
      </c>
    </row>
    <row r="2858" spans="2:12" ht="15" customHeight="1" x14ac:dyDescent="0.2">
      <c r="B2858" s="250" t="s">
        <v>1263</v>
      </c>
      <c r="D2858" s="250" t="s">
        <v>1235</v>
      </c>
      <c r="K2858" s="250">
        <v>1</v>
      </c>
      <c r="L2858" s="250">
        <v>4400</v>
      </c>
    </row>
    <row r="2859" spans="2:12" ht="15" customHeight="1" x14ac:dyDescent="0.2">
      <c r="B2859" s="250" t="s">
        <v>1264</v>
      </c>
      <c r="D2859" s="250" t="s">
        <v>1235</v>
      </c>
      <c r="K2859" s="250">
        <v>1</v>
      </c>
      <c r="L2859" s="250">
        <v>4600</v>
      </c>
    </row>
    <row r="2860" spans="2:12" ht="15" customHeight="1" x14ac:dyDescent="0.2">
      <c r="B2860" s="250" t="s">
        <v>1265</v>
      </c>
      <c r="D2860" s="250" t="s">
        <v>1235</v>
      </c>
      <c r="K2860" s="250">
        <v>1</v>
      </c>
      <c r="L2860" s="250">
        <v>5100</v>
      </c>
    </row>
    <row r="2861" spans="2:12" ht="15" customHeight="1" x14ac:dyDescent="0.2">
      <c r="B2861" s="250" t="s">
        <v>1266</v>
      </c>
      <c r="D2861" s="250" t="s">
        <v>1235</v>
      </c>
      <c r="K2861" s="250">
        <v>1</v>
      </c>
      <c r="L2861" s="250">
        <v>5500</v>
      </c>
    </row>
    <row r="2862" spans="2:12" ht="15" customHeight="1" x14ac:dyDescent="0.2">
      <c r="B2862" s="250" t="s">
        <v>1267</v>
      </c>
      <c r="D2862" s="250" t="s">
        <v>1235</v>
      </c>
      <c r="K2862" s="250">
        <v>1</v>
      </c>
      <c r="L2862" s="250">
        <v>5600</v>
      </c>
    </row>
    <row r="2863" spans="2:12" ht="15" customHeight="1" x14ac:dyDescent="0.2">
      <c r="B2863" s="250" t="s">
        <v>1268</v>
      </c>
      <c r="D2863" s="250" t="s">
        <v>1235</v>
      </c>
      <c r="K2863" s="250">
        <v>1</v>
      </c>
      <c r="L2863" s="250">
        <v>6300</v>
      </c>
    </row>
    <row r="2864" spans="2:12" ht="15" customHeight="1" x14ac:dyDescent="0.2">
      <c r="B2864" s="250" t="s">
        <v>1269</v>
      </c>
      <c r="D2864" s="250" t="s">
        <v>1235</v>
      </c>
      <c r="K2864" s="250">
        <v>1</v>
      </c>
      <c r="L2864" s="250">
        <v>6900</v>
      </c>
    </row>
    <row r="2865" spans="1:13" ht="15" customHeight="1" x14ac:dyDescent="0.2">
      <c r="B2865" s="250" t="s">
        <v>1270</v>
      </c>
      <c r="D2865" s="250" t="s">
        <v>1235</v>
      </c>
      <c r="K2865" s="250">
        <v>1</v>
      </c>
      <c r="L2865" s="250">
        <v>7400</v>
      </c>
    </row>
    <row r="2866" spans="1:13" ht="15" customHeight="1" x14ac:dyDescent="0.2">
      <c r="B2866" s="250" t="s">
        <v>3900</v>
      </c>
    </row>
    <row r="2867" spans="1:13" ht="15" customHeight="1" x14ac:dyDescent="0.2">
      <c r="A2867" s="248" t="s">
        <v>1271</v>
      </c>
      <c r="B2867" s="249" t="s">
        <v>1272</v>
      </c>
      <c r="D2867" s="250" t="s">
        <v>1273</v>
      </c>
      <c r="K2867" s="250">
        <v>1</v>
      </c>
    </row>
    <row r="2868" spans="1:13" ht="15" customHeight="1" x14ac:dyDescent="0.2">
      <c r="A2868" s="248"/>
      <c r="B2868" s="249" t="s">
        <v>1274</v>
      </c>
      <c r="D2868" s="250" t="s">
        <v>1275</v>
      </c>
      <c r="K2868" s="250">
        <v>1</v>
      </c>
    </row>
    <row r="2869" spans="1:13" ht="15" customHeight="1" x14ac:dyDescent="0.2">
      <c r="A2869" s="248"/>
      <c r="B2869" s="249" t="s">
        <v>1276</v>
      </c>
      <c r="D2869" s="250" t="s">
        <v>1277</v>
      </c>
      <c r="K2869" s="250">
        <v>1</v>
      </c>
    </row>
    <row r="2870" spans="1:13" ht="15" customHeight="1" x14ac:dyDescent="0.2">
      <c r="A2870" s="248"/>
      <c r="B2870" s="249" t="s">
        <v>1278</v>
      </c>
      <c r="D2870" s="250" t="s">
        <v>1279</v>
      </c>
      <c r="K2870" s="250">
        <v>1</v>
      </c>
    </row>
    <row r="2871" spans="1:13" ht="15" customHeight="1" x14ac:dyDescent="0.2">
      <c r="B2871" s="250" t="s">
        <v>3900</v>
      </c>
    </row>
    <row r="2872" spans="1:13" ht="15" customHeight="1" x14ac:dyDescent="0.2">
      <c r="B2872" s="250" t="s">
        <v>3263</v>
      </c>
      <c r="C2872" s="250" t="s">
        <v>3242</v>
      </c>
      <c r="D2872" s="250" t="s">
        <v>4320</v>
      </c>
      <c r="K2872" s="250">
        <v>1</v>
      </c>
      <c r="L2872" s="250">
        <v>18</v>
      </c>
      <c r="M2872" s="250">
        <v>11.1</v>
      </c>
    </row>
    <row r="2873" spans="1:13" ht="15" customHeight="1" x14ac:dyDescent="0.2">
      <c r="B2873" s="250" t="s">
        <v>3264</v>
      </c>
      <c r="C2873" s="250" t="s">
        <v>3242</v>
      </c>
      <c r="D2873" s="250" t="s">
        <v>3975</v>
      </c>
      <c r="K2873" s="250">
        <v>1</v>
      </c>
      <c r="L2873" s="250">
        <v>32</v>
      </c>
      <c r="M2873" s="250">
        <v>21.2</v>
      </c>
    </row>
    <row r="2874" spans="1:13" ht="15" customHeight="1" x14ac:dyDescent="0.2">
      <c r="B2874" s="250" t="s">
        <v>3265</v>
      </c>
      <c r="C2874" s="250" t="s">
        <v>3242</v>
      </c>
      <c r="D2874" s="250" t="s">
        <v>3975</v>
      </c>
      <c r="K2874" s="250">
        <v>1</v>
      </c>
      <c r="L2874" s="250">
        <v>35</v>
      </c>
      <c r="M2874" s="250">
        <v>23.3</v>
      </c>
    </row>
    <row r="2875" spans="1:13" ht="15" customHeight="1" x14ac:dyDescent="0.2">
      <c r="B2875" s="250" t="s">
        <v>3266</v>
      </c>
      <c r="C2875" s="250" t="s">
        <v>3242</v>
      </c>
      <c r="D2875" s="250" t="s">
        <v>4320</v>
      </c>
      <c r="K2875" s="250">
        <v>1</v>
      </c>
      <c r="L2875" s="250">
        <v>47</v>
      </c>
      <c r="M2875" s="250">
        <v>31.1</v>
      </c>
    </row>
    <row r="2876" spans="1:13" ht="15" customHeight="1" x14ac:dyDescent="0.2">
      <c r="B2876" s="250" t="s">
        <v>3267</v>
      </c>
      <c r="C2876" s="250" t="s">
        <v>3242</v>
      </c>
      <c r="D2876" s="250" t="s">
        <v>3975</v>
      </c>
      <c r="K2876" s="250">
        <v>1</v>
      </c>
      <c r="L2876" s="250">
        <v>52</v>
      </c>
      <c r="M2876" s="250">
        <v>34.5</v>
      </c>
    </row>
    <row r="2877" spans="1:13" ht="15" customHeight="1" x14ac:dyDescent="0.2">
      <c r="B2877" s="250" t="s">
        <v>3268</v>
      </c>
      <c r="C2877" s="250" t="s">
        <v>3242</v>
      </c>
      <c r="D2877" s="250" t="s">
        <v>3975</v>
      </c>
      <c r="K2877" s="250">
        <v>1</v>
      </c>
      <c r="L2877" s="250">
        <v>60</v>
      </c>
      <c r="M2877" s="250">
        <v>40</v>
      </c>
    </row>
    <row r="2878" spans="1:13" ht="15" customHeight="1" x14ac:dyDescent="0.2">
      <c r="B2878" s="250" t="s">
        <v>3269</v>
      </c>
      <c r="C2878" s="250" t="s">
        <v>3242</v>
      </c>
      <c r="D2878" s="250" t="s">
        <v>3975</v>
      </c>
      <c r="K2878" s="250">
        <v>1</v>
      </c>
      <c r="L2878" s="250">
        <v>70</v>
      </c>
      <c r="M2878" s="250">
        <v>45.6</v>
      </c>
    </row>
    <row r="2879" spans="1:13" ht="15" customHeight="1" x14ac:dyDescent="0.2">
      <c r="B2879" s="250" t="s">
        <v>3270</v>
      </c>
      <c r="C2879" s="250" t="s">
        <v>3242</v>
      </c>
      <c r="D2879" s="250" t="s">
        <v>4320</v>
      </c>
      <c r="K2879" s="250">
        <v>1</v>
      </c>
      <c r="L2879" s="250">
        <v>79</v>
      </c>
      <c r="M2879" s="250">
        <v>52.2</v>
      </c>
    </row>
    <row r="2880" spans="1:13" ht="15" customHeight="1" x14ac:dyDescent="0.2">
      <c r="B2880" s="250" t="s">
        <v>3271</v>
      </c>
      <c r="C2880" s="250" t="s">
        <v>3242</v>
      </c>
      <c r="D2880" s="250" t="s">
        <v>3975</v>
      </c>
      <c r="K2880" s="250">
        <v>1</v>
      </c>
      <c r="L2880" s="250">
        <v>92</v>
      </c>
      <c r="M2880" s="250">
        <v>61.1</v>
      </c>
    </row>
    <row r="2881" spans="2:13" ht="15" customHeight="1" x14ac:dyDescent="0.2">
      <c r="B2881" s="250" t="s">
        <v>3272</v>
      </c>
      <c r="C2881" s="250" t="s">
        <v>3242</v>
      </c>
      <c r="D2881" s="250" t="s">
        <v>4320</v>
      </c>
      <c r="K2881" s="250">
        <v>1</v>
      </c>
      <c r="L2881" s="250">
        <v>105</v>
      </c>
      <c r="M2881" s="250">
        <v>69</v>
      </c>
    </row>
    <row r="2882" spans="2:13" ht="15" customHeight="1" x14ac:dyDescent="0.2">
      <c r="B2882" s="250" t="s">
        <v>3273</v>
      </c>
      <c r="C2882" s="250" t="s">
        <v>3242</v>
      </c>
      <c r="D2882" s="250" t="s">
        <v>3975</v>
      </c>
      <c r="K2882" s="250">
        <v>1</v>
      </c>
      <c r="L2882" s="250">
        <v>112</v>
      </c>
      <c r="M2882" s="250">
        <v>74.5</v>
      </c>
    </row>
    <row r="2883" spans="2:13" ht="15" customHeight="1" x14ac:dyDescent="0.2">
      <c r="B2883" s="250" t="s">
        <v>3274</v>
      </c>
      <c r="C2883" s="250" t="s">
        <v>3242</v>
      </c>
      <c r="D2883" s="250" t="s">
        <v>4320</v>
      </c>
      <c r="K2883" s="250">
        <v>1</v>
      </c>
      <c r="L2883" s="250">
        <v>125</v>
      </c>
      <c r="M2883" s="250">
        <v>81.099999999999994</v>
      </c>
    </row>
    <row r="2884" spans="2:13" ht="15" customHeight="1" x14ac:dyDescent="0.2">
      <c r="B2884" s="250" t="s">
        <v>3275</v>
      </c>
      <c r="C2884" s="250" t="s">
        <v>3242</v>
      </c>
      <c r="D2884" s="250" t="s">
        <v>3975</v>
      </c>
      <c r="K2884" s="250">
        <v>1</v>
      </c>
      <c r="L2884" s="250">
        <v>140</v>
      </c>
      <c r="M2884" s="250">
        <v>92.2</v>
      </c>
    </row>
    <row r="2885" spans="2:13" ht="15" customHeight="1" x14ac:dyDescent="0.2">
      <c r="B2885" s="250" t="s">
        <v>3276</v>
      </c>
      <c r="C2885" s="250" t="s">
        <v>3242</v>
      </c>
      <c r="D2885" s="250" t="s">
        <v>3975</v>
      </c>
      <c r="K2885" s="250">
        <v>1</v>
      </c>
      <c r="L2885" s="250">
        <v>150</v>
      </c>
      <c r="M2885" s="250">
        <v>92.2</v>
      </c>
    </row>
    <row r="2886" spans="2:13" ht="15" customHeight="1" x14ac:dyDescent="0.2">
      <c r="B2886" s="250" t="s">
        <v>3277</v>
      </c>
      <c r="C2886" s="250" t="s">
        <v>3242</v>
      </c>
      <c r="D2886" s="250" t="s">
        <v>4320</v>
      </c>
      <c r="K2886" s="250">
        <v>1</v>
      </c>
      <c r="L2886" s="250">
        <v>165</v>
      </c>
      <c r="M2886" s="250">
        <v>110</v>
      </c>
    </row>
    <row r="2887" spans="2:13" ht="15" customHeight="1" x14ac:dyDescent="0.2">
      <c r="B2887" s="250" t="s">
        <v>3278</v>
      </c>
      <c r="C2887" s="250" t="s">
        <v>3242</v>
      </c>
      <c r="D2887" s="250" t="s">
        <v>3975</v>
      </c>
      <c r="K2887" s="250">
        <v>1</v>
      </c>
      <c r="L2887" s="250">
        <v>205</v>
      </c>
      <c r="M2887" s="250">
        <v>135</v>
      </c>
    </row>
    <row r="2888" spans="2:13" ht="15" customHeight="1" x14ac:dyDescent="0.2">
      <c r="B2888" s="250" t="s">
        <v>4321</v>
      </c>
      <c r="C2888" s="250" t="s">
        <v>3242</v>
      </c>
      <c r="D2888" s="250" t="s">
        <v>25</v>
      </c>
      <c r="K2888" s="250">
        <v>1</v>
      </c>
      <c r="L2888" s="250">
        <v>1600</v>
      </c>
    </row>
    <row r="2889" spans="2:13" ht="15" customHeight="1" x14ac:dyDescent="0.2">
      <c r="B2889" s="250" t="s">
        <v>182</v>
      </c>
      <c r="C2889" s="250" t="s">
        <v>3242</v>
      </c>
      <c r="D2889" s="250" t="s">
        <v>725</v>
      </c>
      <c r="K2889" s="250">
        <v>1</v>
      </c>
      <c r="L2889" s="250">
        <v>180</v>
      </c>
    </row>
    <row r="2890" spans="2:13" ht="15" customHeight="1" x14ac:dyDescent="0.2">
      <c r="B2890" s="250" t="s">
        <v>726</v>
      </c>
      <c r="C2890" s="250" t="s">
        <v>3242</v>
      </c>
      <c r="D2890" s="250" t="s">
        <v>25</v>
      </c>
      <c r="K2890" s="250">
        <v>1</v>
      </c>
      <c r="L2890" s="250">
        <v>2000</v>
      </c>
    </row>
    <row r="2891" spans="2:13" ht="15" customHeight="1" x14ac:dyDescent="0.2">
      <c r="B2891" s="250" t="s">
        <v>727</v>
      </c>
      <c r="C2891" s="250" t="s">
        <v>3242</v>
      </c>
      <c r="D2891" s="250" t="s">
        <v>25</v>
      </c>
      <c r="K2891" s="250">
        <v>1</v>
      </c>
      <c r="L2891" s="250">
        <v>1800</v>
      </c>
    </row>
    <row r="2892" spans="2:13" ht="15" customHeight="1" x14ac:dyDescent="0.2">
      <c r="B2892" s="250" t="s">
        <v>728</v>
      </c>
      <c r="C2892" s="250" t="s">
        <v>3242</v>
      </c>
      <c r="D2892" s="250" t="s">
        <v>25</v>
      </c>
      <c r="K2892" s="250">
        <v>1</v>
      </c>
      <c r="L2892" s="250">
        <v>1600</v>
      </c>
    </row>
    <row r="2893" spans="2:13" ht="15" customHeight="1" x14ac:dyDescent="0.2">
      <c r="B2893" s="250" t="s">
        <v>729</v>
      </c>
      <c r="C2893" s="250" t="s">
        <v>3242</v>
      </c>
      <c r="D2893" s="250" t="s">
        <v>25</v>
      </c>
      <c r="K2893" s="250">
        <v>1</v>
      </c>
      <c r="L2893" s="250">
        <v>1400</v>
      </c>
    </row>
    <row r="2894" spans="2:13" ht="15" customHeight="1" x14ac:dyDescent="0.2">
      <c r="B2894" s="250" t="s">
        <v>730</v>
      </c>
      <c r="C2894" s="250" t="s">
        <v>3242</v>
      </c>
      <c r="D2894" s="250" t="s">
        <v>725</v>
      </c>
      <c r="K2894" s="250">
        <v>1</v>
      </c>
      <c r="L2894" s="250">
        <v>150</v>
      </c>
    </row>
    <row r="2895" spans="2:13" ht="15" customHeight="1" x14ac:dyDescent="0.2">
      <c r="B2895" s="250" t="s">
        <v>731</v>
      </c>
      <c r="C2895" s="250" t="s">
        <v>3242</v>
      </c>
      <c r="D2895" s="250" t="s">
        <v>25</v>
      </c>
      <c r="K2895" s="250">
        <v>1</v>
      </c>
      <c r="L2895" s="250">
        <v>2100</v>
      </c>
    </row>
    <row r="2896" spans="2:13" ht="15" customHeight="1" x14ac:dyDescent="0.2">
      <c r="B2896" s="250" t="s">
        <v>732</v>
      </c>
      <c r="C2896" s="250" t="s">
        <v>3242</v>
      </c>
      <c r="D2896" s="250" t="s">
        <v>25</v>
      </c>
      <c r="K2896" s="250">
        <v>1</v>
      </c>
      <c r="L2896" s="250">
        <v>1950</v>
      </c>
    </row>
    <row r="2897" spans="2:12" ht="15" customHeight="1" x14ac:dyDescent="0.2">
      <c r="B2897" s="250" t="s">
        <v>733</v>
      </c>
      <c r="C2897" s="250" t="s">
        <v>3242</v>
      </c>
      <c r="D2897" s="250" t="s">
        <v>25</v>
      </c>
      <c r="K2897" s="250">
        <v>1</v>
      </c>
      <c r="L2897" s="250">
        <v>1800</v>
      </c>
    </row>
    <row r="2898" spans="2:12" ht="15" customHeight="1" x14ac:dyDescent="0.2">
      <c r="B2898" s="250" t="s">
        <v>734</v>
      </c>
      <c r="C2898" s="250" t="s">
        <v>3242</v>
      </c>
      <c r="D2898" s="250" t="s">
        <v>25</v>
      </c>
      <c r="K2898" s="250">
        <v>1</v>
      </c>
      <c r="L2898" s="250">
        <v>1700</v>
      </c>
    </row>
    <row r="2899" spans="2:12" ht="15" customHeight="1" x14ac:dyDescent="0.2">
      <c r="B2899" s="250" t="s">
        <v>735</v>
      </c>
      <c r="C2899" s="250" t="s">
        <v>3242</v>
      </c>
      <c r="D2899" s="250" t="s">
        <v>725</v>
      </c>
      <c r="K2899" s="250">
        <v>1</v>
      </c>
      <c r="L2899" s="250">
        <v>180</v>
      </c>
    </row>
    <row r="2900" spans="2:12" ht="15" customHeight="1" x14ac:dyDescent="0.2">
      <c r="B2900" s="250" t="s">
        <v>4322</v>
      </c>
      <c r="C2900" s="250" t="s">
        <v>3242</v>
      </c>
      <c r="D2900" s="250" t="s">
        <v>25</v>
      </c>
      <c r="K2900" s="250">
        <v>1</v>
      </c>
      <c r="L2900" s="250">
        <v>2200</v>
      </c>
    </row>
    <row r="2901" spans="2:12" ht="15" customHeight="1" x14ac:dyDescent="0.2">
      <c r="B2901" s="250" t="s">
        <v>736</v>
      </c>
      <c r="C2901" s="250" t="s">
        <v>3242</v>
      </c>
      <c r="D2901" s="250" t="s">
        <v>25</v>
      </c>
      <c r="K2901" s="250">
        <v>1</v>
      </c>
      <c r="L2901" s="250">
        <v>1850</v>
      </c>
    </row>
    <row r="2902" spans="2:12" ht="15" customHeight="1" x14ac:dyDescent="0.2">
      <c r="B2902" s="250" t="s">
        <v>737</v>
      </c>
      <c r="C2902" s="250" t="s">
        <v>3242</v>
      </c>
      <c r="D2902" s="250" t="s">
        <v>25</v>
      </c>
      <c r="K2902" s="250">
        <v>1</v>
      </c>
      <c r="L2902" s="250">
        <v>1700</v>
      </c>
    </row>
    <row r="2903" spans="2:12" ht="15" customHeight="1" x14ac:dyDescent="0.2">
      <c r="B2903" s="250" t="s">
        <v>181</v>
      </c>
      <c r="C2903" s="250" t="s">
        <v>3242</v>
      </c>
      <c r="D2903" s="250" t="s">
        <v>25</v>
      </c>
      <c r="K2903" s="250">
        <v>1</v>
      </c>
      <c r="L2903" s="250">
        <v>1550</v>
      </c>
    </row>
    <row r="2904" spans="2:12" ht="15" customHeight="1" x14ac:dyDescent="0.2">
      <c r="B2904" s="250" t="s">
        <v>738</v>
      </c>
      <c r="C2904" s="250" t="s">
        <v>3242</v>
      </c>
      <c r="D2904" s="250" t="s">
        <v>25</v>
      </c>
      <c r="K2904" s="250">
        <v>1</v>
      </c>
      <c r="L2904" s="250">
        <v>1400</v>
      </c>
    </row>
    <row r="2905" spans="2:12" ht="15" customHeight="1" x14ac:dyDescent="0.2">
      <c r="B2905" s="250" t="s">
        <v>739</v>
      </c>
      <c r="C2905" s="250" t="s">
        <v>3242</v>
      </c>
      <c r="D2905" s="250" t="s">
        <v>725</v>
      </c>
      <c r="K2905" s="250">
        <v>1</v>
      </c>
      <c r="L2905" s="250">
        <v>200</v>
      </c>
    </row>
    <row r="2906" spans="2:12" ht="15" customHeight="1" x14ac:dyDescent="0.2">
      <c r="B2906" s="250" t="s">
        <v>740</v>
      </c>
      <c r="C2906" s="250" t="s">
        <v>3242</v>
      </c>
      <c r="D2906" s="250" t="s">
        <v>25</v>
      </c>
      <c r="K2906" s="250">
        <v>1</v>
      </c>
      <c r="L2906" s="250">
        <v>2000</v>
      </c>
    </row>
    <row r="2907" spans="2:12" ht="15" customHeight="1" x14ac:dyDescent="0.2">
      <c r="B2907" s="250" t="s">
        <v>741</v>
      </c>
      <c r="C2907" s="250" t="s">
        <v>3242</v>
      </c>
      <c r="D2907" s="250" t="s">
        <v>25</v>
      </c>
      <c r="K2907" s="250">
        <v>1</v>
      </c>
      <c r="L2907" s="250">
        <v>1850</v>
      </c>
    </row>
    <row r="2908" spans="2:12" ht="15" customHeight="1" x14ac:dyDescent="0.2">
      <c r="B2908" s="250" t="s">
        <v>742</v>
      </c>
      <c r="C2908" s="250" t="s">
        <v>3242</v>
      </c>
      <c r="D2908" s="250" t="s">
        <v>25</v>
      </c>
      <c r="K2908" s="250">
        <v>1</v>
      </c>
      <c r="L2908" s="250">
        <v>1700</v>
      </c>
    </row>
    <row r="2909" spans="2:12" ht="15" customHeight="1" x14ac:dyDescent="0.2">
      <c r="B2909" s="250" t="s">
        <v>743</v>
      </c>
      <c r="C2909" s="250" t="s">
        <v>3242</v>
      </c>
      <c r="D2909" s="250" t="s">
        <v>25</v>
      </c>
      <c r="K2909" s="250">
        <v>1</v>
      </c>
      <c r="L2909" s="250">
        <v>1550</v>
      </c>
    </row>
    <row r="2910" spans="2:12" ht="15" customHeight="1" x14ac:dyDescent="0.2">
      <c r="B2910" s="250" t="s">
        <v>744</v>
      </c>
      <c r="C2910" s="250" t="s">
        <v>3242</v>
      </c>
      <c r="D2910" s="250" t="s">
        <v>725</v>
      </c>
      <c r="K2910" s="250">
        <v>1</v>
      </c>
      <c r="L2910" s="250">
        <v>240</v>
      </c>
    </row>
    <row r="2911" spans="2:12" ht="15" customHeight="1" x14ac:dyDescent="0.2">
      <c r="B2911" s="250" t="s">
        <v>745</v>
      </c>
      <c r="C2911" s="250" t="s">
        <v>3242</v>
      </c>
      <c r="D2911" s="250" t="s">
        <v>25</v>
      </c>
      <c r="K2911" s="250">
        <v>1</v>
      </c>
      <c r="L2911" s="250">
        <v>2300</v>
      </c>
    </row>
    <row r="2912" spans="2:12" ht="15" customHeight="1" x14ac:dyDescent="0.2">
      <c r="B2912" s="250" t="s">
        <v>236</v>
      </c>
      <c r="C2912" s="250" t="s">
        <v>3242</v>
      </c>
      <c r="D2912" s="250" t="s">
        <v>25</v>
      </c>
      <c r="K2912" s="250">
        <v>1</v>
      </c>
      <c r="L2912" s="250">
        <v>2100</v>
      </c>
    </row>
    <row r="2913" spans="1:12" ht="15" customHeight="1" x14ac:dyDescent="0.2">
      <c r="B2913" s="250" t="s">
        <v>746</v>
      </c>
      <c r="C2913" s="250" t="s">
        <v>3242</v>
      </c>
      <c r="D2913" s="250" t="s">
        <v>25</v>
      </c>
      <c r="K2913" s="250">
        <v>1</v>
      </c>
      <c r="L2913" s="250">
        <v>1900</v>
      </c>
    </row>
    <row r="2914" spans="1:12" ht="15" customHeight="1" x14ac:dyDescent="0.2">
      <c r="B2914" s="250" t="s">
        <v>748</v>
      </c>
      <c r="C2914" s="250" t="s">
        <v>3242</v>
      </c>
      <c r="D2914" s="250" t="s">
        <v>725</v>
      </c>
      <c r="K2914" s="250">
        <v>1</v>
      </c>
      <c r="L2914" s="250">
        <v>240</v>
      </c>
    </row>
    <row r="2915" spans="1:12" ht="15" customHeight="1" x14ac:dyDescent="0.2">
      <c r="B2915" s="250" t="s">
        <v>747</v>
      </c>
      <c r="C2915" s="250" t="s">
        <v>3242</v>
      </c>
      <c r="D2915" s="250" t="s">
        <v>725</v>
      </c>
      <c r="K2915" s="250">
        <v>1</v>
      </c>
      <c r="L2915" s="250">
        <v>240</v>
      </c>
    </row>
    <row r="2916" spans="1:12" ht="15" customHeight="1" x14ac:dyDescent="0.2">
      <c r="B2916" s="250" t="s">
        <v>749</v>
      </c>
      <c r="C2916" s="250" t="s">
        <v>3242</v>
      </c>
      <c r="D2916" s="250" t="s">
        <v>25</v>
      </c>
      <c r="K2916" s="250">
        <v>1</v>
      </c>
      <c r="L2916" s="250">
        <v>1700</v>
      </c>
    </row>
    <row r="2917" spans="1:12" ht="15" customHeight="1" x14ac:dyDescent="0.2">
      <c r="B2917" s="250" t="s">
        <v>750</v>
      </c>
      <c r="C2917" s="250" t="s">
        <v>3242</v>
      </c>
      <c r="D2917" s="250" t="s">
        <v>25</v>
      </c>
      <c r="K2917" s="250">
        <v>1</v>
      </c>
      <c r="L2917" s="250">
        <v>1900</v>
      </c>
    </row>
    <row r="2918" spans="1:12" ht="15" customHeight="1" x14ac:dyDescent="0.2">
      <c r="B2918" s="250" t="s">
        <v>751</v>
      </c>
      <c r="C2918" s="250" t="s">
        <v>3242</v>
      </c>
      <c r="D2918" s="250" t="s">
        <v>25</v>
      </c>
      <c r="K2918" s="250">
        <v>1</v>
      </c>
      <c r="L2918" s="250">
        <v>2200</v>
      </c>
    </row>
    <row r="2919" spans="1:12" ht="15" customHeight="1" x14ac:dyDescent="0.2">
      <c r="B2919" s="250" t="s">
        <v>752</v>
      </c>
      <c r="C2919" s="250" t="s">
        <v>3242</v>
      </c>
      <c r="D2919" s="250" t="s">
        <v>25</v>
      </c>
      <c r="K2919" s="250">
        <v>1</v>
      </c>
      <c r="L2919" s="250">
        <v>1900</v>
      </c>
    </row>
    <row r="2920" spans="1:12" ht="15" customHeight="1" x14ac:dyDescent="0.2">
      <c r="B2920" s="250" t="s">
        <v>753</v>
      </c>
      <c r="C2920" s="250" t="s">
        <v>3242</v>
      </c>
      <c r="D2920" s="250" t="s">
        <v>25</v>
      </c>
      <c r="K2920" s="250">
        <v>1</v>
      </c>
      <c r="L2920" s="250">
        <v>2200</v>
      </c>
    </row>
    <row r="2921" spans="1:12" ht="15" customHeight="1" x14ac:dyDescent="0.2">
      <c r="B2921" s="250" t="s">
        <v>754</v>
      </c>
      <c r="C2921" s="250" t="s">
        <v>3242</v>
      </c>
      <c r="D2921" s="250" t="s">
        <v>25</v>
      </c>
      <c r="K2921" s="250">
        <v>1</v>
      </c>
      <c r="L2921" s="250">
        <v>2400</v>
      </c>
    </row>
    <row r="2922" spans="1:12" ht="15" customHeight="1" x14ac:dyDescent="0.2">
      <c r="B2922" s="250" t="s">
        <v>2112</v>
      </c>
      <c r="C2922" s="250" t="s">
        <v>3242</v>
      </c>
      <c r="D2922" s="250" t="s">
        <v>25</v>
      </c>
      <c r="K2922" s="250">
        <v>1</v>
      </c>
      <c r="L2922" s="250">
        <v>2600</v>
      </c>
    </row>
    <row r="2923" spans="1:12" ht="15" customHeight="1" x14ac:dyDescent="0.2">
      <c r="A2923" s="255" t="s">
        <v>4323</v>
      </c>
      <c r="B2923" s="250" t="s">
        <v>755</v>
      </c>
      <c r="C2923" s="250" t="s">
        <v>3242</v>
      </c>
      <c r="D2923" s="250" t="s">
        <v>756</v>
      </c>
      <c r="K2923" s="250">
        <v>1</v>
      </c>
      <c r="L2923" s="250">
        <v>750</v>
      </c>
    </row>
    <row r="2924" spans="1:12" ht="15" customHeight="1" x14ac:dyDescent="0.2">
      <c r="B2924" s="250" t="s">
        <v>757</v>
      </c>
      <c r="C2924" s="250" t="s">
        <v>3242</v>
      </c>
      <c r="D2924" s="250" t="s">
        <v>773</v>
      </c>
      <c r="K2924" s="250">
        <v>1</v>
      </c>
      <c r="L2924" s="250">
        <v>150</v>
      </c>
    </row>
    <row r="2925" spans="1:12" ht="15" customHeight="1" x14ac:dyDescent="0.2">
      <c r="A2925" s="252">
        <v>200</v>
      </c>
      <c r="B2925" s="250" t="s">
        <v>758</v>
      </c>
      <c r="C2925" s="250" t="s">
        <v>3242</v>
      </c>
      <c r="D2925" s="250" t="s">
        <v>756</v>
      </c>
      <c r="K2925" s="250">
        <v>1</v>
      </c>
      <c r="L2925" s="250">
        <v>360</v>
      </c>
    </row>
    <row r="2926" spans="1:12" ht="15" customHeight="1" x14ac:dyDescent="0.2">
      <c r="A2926" s="252">
        <v>200</v>
      </c>
      <c r="B2926" s="250" t="s">
        <v>759</v>
      </c>
      <c r="C2926" s="250" t="s">
        <v>3242</v>
      </c>
      <c r="D2926" s="250" t="s">
        <v>756</v>
      </c>
      <c r="K2926" s="250">
        <v>1</v>
      </c>
      <c r="L2926" s="250">
        <v>410</v>
      </c>
    </row>
    <row r="2927" spans="1:12" ht="15" customHeight="1" x14ac:dyDescent="0.2">
      <c r="A2927" s="252">
        <v>300</v>
      </c>
      <c r="B2927" s="250" t="s">
        <v>760</v>
      </c>
      <c r="C2927" s="250" t="s">
        <v>3242</v>
      </c>
      <c r="D2927" s="250" t="s">
        <v>756</v>
      </c>
      <c r="K2927" s="250">
        <v>1</v>
      </c>
      <c r="L2927" s="250">
        <v>380</v>
      </c>
    </row>
    <row r="2928" spans="1:12" ht="15" customHeight="1" x14ac:dyDescent="0.2">
      <c r="A2928" s="252">
        <v>300</v>
      </c>
      <c r="B2928" s="250" t="s">
        <v>761</v>
      </c>
      <c r="C2928" s="250" t="s">
        <v>3242</v>
      </c>
      <c r="D2928" s="250" t="s">
        <v>756</v>
      </c>
      <c r="K2928" s="250">
        <v>1</v>
      </c>
      <c r="L2928" s="250">
        <v>420</v>
      </c>
    </row>
    <row r="2929" spans="1:12" ht="15" customHeight="1" x14ac:dyDescent="0.2">
      <c r="A2929" s="252">
        <v>300</v>
      </c>
      <c r="B2929" s="250" t="s">
        <v>762</v>
      </c>
      <c r="C2929" s="250" t="s">
        <v>3242</v>
      </c>
      <c r="D2929" s="250" t="s">
        <v>756</v>
      </c>
      <c r="K2929" s="250">
        <v>1</v>
      </c>
      <c r="L2929" s="250">
        <v>490</v>
      </c>
    </row>
    <row r="2930" spans="1:12" ht="15" customHeight="1" x14ac:dyDescent="0.2">
      <c r="A2930" s="252">
        <v>400</v>
      </c>
      <c r="B2930" s="250" t="s">
        <v>763</v>
      </c>
      <c r="C2930" s="250" t="s">
        <v>3242</v>
      </c>
      <c r="D2930" s="250" t="s">
        <v>756</v>
      </c>
      <c r="K2930" s="250">
        <v>1</v>
      </c>
      <c r="L2930" s="250">
        <v>430</v>
      </c>
    </row>
    <row r="2931" spans="1:12" ht="15" customHeight="1" x14ac:dyDescent="0.2">
      <c r="A2931" s="252">
        <v>400</v>
      </c>
      <c r="B2931" s="250" t="s">
        <v>764</v>
      </c>
      <c r="C2931" s="250" t="s">
        <v>3242</v>
      </c>
      <c r="D2931" s="250" t="s">
        <v>756</v>
      </c>
      <c r="K2931" s="250">
        <v>1</v>
      </c>
      <c r="L2931" s="250">
        <v>520</v>
      </c>
    </row>
    <row r="2932" spans="1:12" ht="15" customHeight="1" x14ac:dyDescent="0.2">
      <c r="A2932" s="252">
        <v>400</v>
      </c>
      <c r="B2932" s="250" t="s">
        <v>765</v>
      </c>
      <c r="C2932" s="250" t="s">
        <v>3242</v>
      </c>
      <c r="D2932" s="250" t="s">
        <v>756</v>
      </c>
      <c r="K2932" s="250">
        <v>1</v>
      </c>
      <c r="L2932" s="250">
        <v>600</v>
      </c>
    </row>
    <row r="2933" spans="1:12" ht="15" customHeight="1" x14ac:dyDescent="0.2">
      <c r="A2933" s="252">
        <v>500</v>
      </c>
      <c r="B2933" s="250" t="s">
        <v>2113</v>
      </c>
      <c r="C2933" s="250" t="s">
        <v>3242</v>
      </c>
      <c r="D2933" s="250" t="s">
        <v>756</v>
      </c>
      <c r="K2933" s="250">
        <v>1</v>
      </c>
      <c r="L2933" s="250">
        <v>630</v>
      </c>
    </row>
    <row r="2934" spans="1:12" ht="15" customHeight="1" x14ac:dyDescent="0.2">
      <c r="A2934" s="252">
        <v>500</v>
      </c>
      <c r="B2934" s="250" t="s">
        <v>2114</v>
      </c>
      <c r="C2934" s="250" t="s">
        <v>3242</v>
      </c>
      <c r="D2934" s="250" t="s">
        <v>756</v>
      </c>
      <c r="K2934" s="250">
        <v>1</v>
      </c>
      <c r="L2934" s="250">
        <v>720</v>
      </c>
    </row>
    <row r="2935" spans="1:12" ht="15" customHeight="1" x14ac:dyDescent="0.2">
      <c r="A2935" s="252">
        <v>600</v>
      </c>
      <c r="B2935" s="250" t="s">
        <v>766</v>
      </c>
      <c r="C2935" s="250" t="s">
        <v>3242</v>
      </c>
      <c r="D2935" s="250" t="s">
        <v>756</v>
      </c>
      <c r="K2935" s="250">
        <v>1</v>
      </c>
      <c r="L2935" s="250">
        <v>550</v>
      </c>
    </row>
    <row r="2936" spans="1:12" ht="15" customHeight="1" x14ac:dyDescent="0.2">
      <c r="A2936" s="252">
        <v>600</v>
      </c>
      <c r="B2936" s="250" t="s">
        <v>767</v>
      </c>
      <c r="C2936" s="250" t="s">
        <v>3242</v>
      </c>
      <c r="D2936" s="250" t="s">
        <v>756</v>
      </c>
      <c r="K2936" s="250">
        <v>1</v>
      </c>
      <c r="L2936" s="250">
        <v>660</v>
      </c>
    </row>
    <row r="2937" spans="1:12" ht="15" customHeight="1" x14ac:dyDescent="0.2">
      <c r="A2937" s="252">
        <v>600</v>
      </c>
      <c r="B2937" s="250" t="s">
        <v>768</v>
      </c>
      <c r="C2937" s="250" t="s">
        <v>3242</v>
      </c>
      <c r="D2937" s="250" t="s">
        <v>756</v>
      </c>
      <c r="K2937" s="250">
        <v>1</v>
      </c>
      <c r="L2937" s="250">
        <v>780</v>
      </c>
    </row>
    <row r="2938" spans="1:12" ht="15" customHeight="1" x14ac:dyDescent="0.2">
      <c r="B2938" s="250" t="s">
        <v>217</v>
      </c>
      <c r="C2938" s="250" t="s">
        <v>3242</v>
      </c>
      <c r="D2938" s="250" t="s">
        <v>725</v>
      </c>
      <c r="K2938" s="250">
        <v>1</v>
      </c>
      <c r="L2938" s="250">
        <v>240</v>
      </c>
    </row>
    <row r="2939" spans="1:12" ht="15" customHeight="1" x14ac:dyDescent="0.2">
      <c r="B2939" s="250" t="s">
        <v>769</v>
      </c>
      <c r="C2939" s="250" t="s">
        <v>3242</v>
      </c>
      <c r="D2939" s="250" t="s">
        <v>725</v>
      </c>
      <c r="K2939" s="250">
        <v>1</v>
      </c>
      <c r="L2939" s="250">
        <v>240</v>
      </c>
    </row>
    <row r="2940" spans="1:12" ht="15" customHeight="1" x14ac:dyDescent="0.2">
      <c r="B2940" s="250" t="s">
        <v>26</v>
      </c>
      <c r="C2940" s="250" t="s">
        <v>3242</v>
      </c>
      <c r="D2940" s="250" t="s">
        <v>25</v>
      </c>
      <c r="K2940" s="250">
        <v>1</v>
      </c>
      <c r="L2940" s="250">
        <v>1700</v>
      </c>
    </row>
    <row r="2941" spans="1:12" ht="15" customHeight="1" x14ac:dyDescent="0.2">
      <c r="B2941" s="250" t="s">
        <v>73</v>
      </c>
      <c r="C2941" s="250" t="s">
        <v>3242</v>
      </c>
      <c r="D2941" s="250" t="s">
        <v>25</v>
      </c>
      <c r="K2941" s="250">
        <v>1</v>
      </c>
      <c r="L2941" s="250">
        <v>1900</v>
      </c>
    </row>
    <row r="2942" spans="1:12" ht="15" customHeight="1" x14ac:dyDescent="0.2">
      <c r="B2942" s="250" t="s">
        <v>59</v>
      </c>
      <c r="C2942" s="250" t="s">
        <v>3242</v>
      </c>
      <c r="D2942" s="250" t="s">
        <v>25</v>
      </c>
      <c r="K2942" s="250">
        <v>1</v>
      </c>
      <c r="L2942" s="250">
        <v>2200</v>
      </c>
    </row>
    <row r="2943" spans="1:12" ht="15" customHeight="1" x14ac:dyDescent="0.2">
      <c r="B2943" s="250" t="s">
        <v>770</v>
      </c>
      <c r="C2943" s="250" t="s">
        <v>3242</v>
      </c>
      <c r="D2943" s="250" t="s">
        <v>25</v>
      </c>
      <c r="K2943" s="250">
        <v>1</v>
      </c>
      <c r="L2943" s="250">
        <v>1900</v>
      </c>
    </row>
    <row r="2944" spans="1:12" ht="15" customHeight="1" x14ac:dyDescent="0.2">
      <c r="B2944" s="250" t="s">
        <v>216</v>
      </c>
      <c r="C2944" s="250" t="s">
        <v>3242</v>
      </c>
      <c r="D2944" s="250" t="s">
        <v>25</v>
      </c>
      <c r="K2944" s="250">
        <v>1</v>
      </c>
      <c r="L2944" s="250">
        <v>2200</v>
      </c>
    </row>
    <row r="2945" spans="1:12" ht="15" customHeight="1" x14ac:dyDescent="0.2">
      <c r="B2945" s="250" t="s">
        <v>222</v>
      </c>
      <c r="C2945" s="250" t="s">
        <v>3242</v>
      </c>
      <c r="D2945" s="250" t="s">
        <v>25</v>
      </c>
      <c r="K2945" s="250">
        <v>1</v>
      </c>
      <c r="L2945" s="250">
        <v>2400</v>
      </c>
    </row>
    <row r="2946" spans="1:12" ht="15" customHeight="1" x14ac:dyDescent="0.2">
      <c r="B2946" s="250" t="s">
        <v>3976</v>
      </c>
      <c r="C2946" s="250" t="s">
        <v>3242</v>
      </c>
      <c r="D2946" s="250" t="s">
        <v>25</v>
      </c>
      <c r="K2946" s="250">
        <v>1</v>
      </c>
      <c r="L2946" s="250">
        <v>2600</v>
      </c>
    </row>
    <row r="2947" spans="1:12" ht="15" customHeight="1" x14ac:dyDescent="0.2">
      <c r="A2947" s="255" t="s">
        <v>771</v>
      </c>
      <c r="B2947" s="250" t="s">
        <v>772</v>
      </c>
      <c r="C2947" s="250" t="s">
        <v>3242</v>
      </c>
      <c r="D2947" s="250" t="s">
        <v>756</v>
      </c>
      <c r="K2947" s="250">
        <v>1</v>
      </c>
      <c r="L2947" s="250">
        <v>750</v>
      </c>
    </row>
    <row r="2948" spans="1:12" ht="15" customHeight="1" x14ac:dyDescent="0.2">
      <c r="B2948" s="250" t="s">
        <v>57</v>
      </c>
      <c r="C2948" s="250" t="s">
        <v>3242</v>
      </c>
      <c r="D2948" s="250" t="s">
        <v>773</v>
      </c>
      <c r="K2948" s="250">
        <v>1</v>
      </c>
      <c r="L2948" s="250">
        <v>150</v>
      </c>
    </row>
    <row r="2949" spans="1:12" ht="15" customHeight="1" x14ac:dyDescent="0.2">
      <c r="A2949" s="252">
        <v>160</v>
      </c>
      <c r="B2949" s="250" t="s">
        <v>232</v>
      </c>
      <c r="C2949" s="250" t="s">
        <v>3242</v>
      </c>
      <c r="D2949" s="250" t="s">
        <v>756</v>
      </c>
      <c r="K2949" s="250">
        <v>1</v>
      </c>
      <c r="L2949" s="250">
        <v>360</v>
      </c>
    </row>
    <row r="2950" spans="1:12" ht="15" customHeight="1" x14ac:dyDescent="0.2">
      <c r="A2950" s="252">
        <v>160</v>
      </c>
      <c r="B2950" s="250" t="s">
        <v>774</v>
      </c>
      <c r="C2950" s="250" t="s">
        <v>3242</v>
      </c>
      <c r="D2950" s="250" t="s">
        <v>756</v>
      </c>
      <c r="K2950" s="250">
        <v>1</v>
      </c>
      <c r="L2950" s="250">
        <v>410</v>
      </c>
    </row>
    <row r="2951" spans="1:12" ht="15" customHeight="1" x14ac:dyDescent="0.2">
      <c r="A2951" s="252">
        <v>240</v>
      </c>
      <c r="B2951" s="250" t="s">
        <v>775</v>
      </c>
      <c r="C2951" s="250" t="s">
        <v>3242</v>
      </c>
      <c r="D2951" s="250" t="s">
        <v>756</v>
      </c>
      <c r="K2951" s="250">
        <v>1</v>
      </c>
      <c r="L2951" s="250">
        <v>380</v>
      </c>
    </row>
    <row r="2952" spans="1:12" ht="15" customHeight="1" x14ac:dyDescent="0.2">
      <c r="A2952" s="252">
        <v>240</v>
      </c>
      <c r="B2952" s="250" t="s">
        <v>776</v>
      </c>
      <c r="C2952" s="250" t="s">
        <v>3242</v>
      </c>
      <c r="D2952" s="250" t="s">
        <v>756</v>
      </c>
      <c r="K2952" s="250">
        <v>1</v>
      </c>
      <c r="L2952" s="250">
        <v>420</v>
      </c>
    </row>
    <row r="2953" spans="1:12" ht="15" customHeight="1" x14ac:dyDescent="0.2">
      <c r="A2953" s="252">
        <v>240</v>
      </c>
      <c r="B2953" s="250" t="s">
        <v>777</v>
      </c>
      <c r="C2953" s="250" t="s">
        <v>3242</v>
      </c>
      <c r="D2953" s="250" t="s">
        <v>756</v>
      </c>
      <c r="K2953" s="250">
        <v>1</v>
      </c>
      <c r="L2953" s="250">
        <v>490</v>
      </c>
    </row>
    <row r="2954" spans="1:12" ht="15" customHeight="1" x14ac:dyDescent="0.2">
      <c r="A2954" s="252">
        <v>320</v>
      </c>
      <c r="B2954" s="250" t="s">
        <v>233</v>
      </c>
      <c r="C2954" s="250" t="s">
        <v>3242</v>
      </c>
      <c r="D2954" s="250" t="s">
        <v>756</v>
      </c>
      <c r="K2954" s="250">
        <v>1</v>
      </c>
      <c r="L2954" s="250">
        <v>430</v>
      </c>
    </row>
    <row r="2955" spans="1:12" ht="15" customHeight="1" x14ac:dyDescent="0.2">
      <c r="A2955" s="252">
        <v>320</v>
      </c>
      <c r="B2955" s="250" t="s">
        <v>229</v>
      </c>
      <c r="C2955" s="250" t="s">
        <v>3242</v>
      </c>
      <c r="D2955" s="250" t="s">
        <v>756</v>
      </c>
      <c r="K2955" s="250">
        <v>1</v>
      </c>
      <c r="L2955" s="250">
        <v>520</v>
      </c>
    </row>
    <row r="2956" spans="1:12" ht="15" customHeight="1" x14ac:dyDescent="0.2">
      <c r="A2956" s="252">
        <v>320</v>
      </c>
      <c r="B2956" s="250" t="s">
        <v>220</v>
      </c>
      <c r="C2956" s="250" t="s">
        <v>3242</v>
      </c>
      <c r="D2956" s="250" t="s">
        <v>756</v>
      </c>
      <c r="K2956" s="250">
        <v>1</v>
      </c>
      <c r="L2956" s="250">
        <v>600</v>
      </c>
    </row>
    <row r="2957" spans="1:12" ht="15" customHeight="1" x14ac:dyDescent="0.2">
      <c r="A2957" s="252">
        <v>400</v>
      </c>
      <c r="B2957" s="250" t="s">
        <v>3977</v>
      </c>
      <c r="C2957" s="250" t="s">
        <v>3242</v>
      </c>
      <c r="D2957" s="250" t="s">
        <v>756</v>
      </c>
      <c r="K2957" s="250">
        <v>1</v>
      </c>
      <c r="L2957" s="250">
        <v>630</v>
      </c>
    </row>
    <row r="2958" spans="1:12" ht="15" customHeight="1" x14ac:dyDescent="0.2">
      <c r="A2958" s="252">
        <v>400</v>
      </c>
      <c r="B2958" s="250" t="s">
        <v>4324</v>
      </c>
      <c r="C2958" s="250" t="s">
        <v>3242</v>
      </c>
      <c r="D2958" s="250" t="s">
        <v>756</v>
      </c>
      <c r="K2958" s="250">
        <v>1</v>
      </c>
      <c r="L2958" s="250">
        <v>720</v>
      </c>
    </row>
    <row r="2959" spans="1:12" ht="15" customHeight="1" x14ac:dyDescent="0.2">
      <c r="A2959" s="252">
        <v>480</v>
      </c>
      <c r="B2959" s="250" t="s">
        <v>778</v>
      </c>
      <c r="C2959" s="250" t="s">
        <v>3242</v>
      </c>
      <c r="D2959" s="250" t="s">
        <v>756</v>
      </c>
      <c r="K2959" s="250">
        <v>1</v>
      </c>
      <c r="L2959" s="250">
        <v>550</v>
      </c>
    </row>
    <row r="2960" spans="1:12" ht="15" customHeight="1" x14ac:dyDescent="0.2">
      <c r="A2960" s="252">
        <v>480</v>
      </c>
      <c r="B2960" s="250" t="s">
        <v>779</v>
      </c>
      <c r="C2960" s="250" t="s">
        <v>3242</v>
      </c>
      <c r="D2960" s="250" t="s">
        <v>756</v>
      </c>
      <c r="K2960" s="250">
        <v>1</v>
      </c>
      <c r="L2960" s="250">
        <v>660</v>
      </c>
    </row>
    <row r="2961" spans="1:12" ht="15" customHeight="1" x14ac:dyDescent="0.2">
      <c r="A2961" s="252">
        <v>480</v>
      </c>
      <c r="B2961" s="250" t="s">
        <v>780</v>
      </c>
      <c r="C2961" s="250" t="s">
        <v>3242</v>
      </c>
      <c r="D2961" s="250" t="s">
        <v>756</v>
      </c>
      <c r="K2961" s="250">
        <v>1</v>
      </c>
      <c r="L2961" s="250">
        <v>780</v>
      </c>
    </row>
    <row r="2962" spans="1:12" ht="15" customHeight="1" x14ac:dyDescent="0.2">
      <c r="B2962" s="250" t="s">
        <v>782</v>
      </c>
      <c r="C2962" s="250" t="s">
        <v>3242</v>
      </c>
      <c r="D2962" s="250" t="s">
        <v>725</v>
      </c>
      <c r="K2962" s="250">
        <v>1</v>
      </c>
      <c r="L2962" s="250">
        <v>240</v>
      </c>
    </row>
    <row r="2963" spans="1:12" ht="15" customHeight="1" x14ac:dyDescent="0.2">
      <c r="B2963" s="250" t="s">
        <v>781</v>
      </c>
      <c r="C2963" s="250" t="s">
        <v>3242</v>
      </c>
      <c r="D2963" s="250" t="s">
        <v>725</v>
      </c>
      <c r="K2963" s="250">
        <v>1</v>
      </c>
      <c r="L2963" s="250">
        <v>240</v>
      </c>
    </row>
    <row r="2964" spans="1:12" ht="15" customHeight="1" x14ac:dyDescent="0.2">
      <c r="B2964" s="250" t="s">
        <v>783</v>
      </c>
      <c r="C2964" s="250" t="s">
        <v>3242</v>
      </c>
      <c r="D2964" s="250" t="s">
        <v>25</v>
      </c>
      <c r="K2964" s="250">
        <v>1</v>
      </c>
      <c r="L2964" s="250">
        <v>1700</v>
      </c>
    </row>
    <row r="2965" spans="1:12" ht="15" customHeight="1" x14ac:dyDescent="0.2">
      <c r="B2965" s="250" t="s">
        <v>784</v>
      </c>
      <c r="C2965" s="250" t="s">
        <v>3242</v>
      </c>
      <c r="D2965" s="250" t="s">
        <v>25</v>
      </c>
      <c r="K2965" s="250">
        <v>1</v>
      </c>
      <c r="L2965" s="250">
        <v>1900</v>
      </c>
    </row>
    <row r="2966" spans="1:12" ht="15" customHeight="1" x14ac:dyDescent="0.2">
      <c r="B2966" s="250" t="s">
        <v>785</v>
      </c>
      <c r="C2966" s="250" t="s">
        <v>3242</v>
      </c>
      <c r="D2966" s="250" t="s">
        <v>25</v>
      </c>
      <c r="K2966" s="250">
        <v>1</v>
      </c>
      <c r="L2966" s="250">
        <v>2200</v>
      </c>
    </row>
    <row r="2967" spans="1:12" ht="15" customHeight="1" x14ac:dyDescent="0.2">
      <c r="B2967" s="250" t="s">
        <v>786</v>
      </c>
      <c r="C2967" s="250" t="s">
        <v>3242</v>
      </c>
      <c r="D2967" s="250" t="s">
        <v>25</v>
      </c>
      <c r="K2967" s="250">
        <v>1</v>
      </c>
      <c r="L2967" s="250">
        <v>1900</v>
      </c>
    </row>
    <row r="2968" spans="1:12" ht="15" customHeight="1" x14ac:dyDescent="0.2">
      <c r="B2968" s="250" t="s">
        <v>787</v>
      </c>
      <c r="C2968" s="250" t="s">
        <v>3242</v>
      </c>
      <c r="D2968" s="250" t="s">
        <v>25</v>
      </c>
      <c r="K2968" s="250">
        <v>1</v>
      </c>
      <c r="L2968" s="250">
        <v>2200</v>
      </c>
    </row>
    <row r="2969" spans="1:12" ht="15" customHeight="1" x14ac:dyDescent="0.2">
      <c r="B2969" s="250" t="s">
        <v>788</v>
      </c>
      <c r="C2969" s="250" t="s">
        <v>3242</v>
      </c>
      <c r="D2969" s="250" t="s">
        <v>25</v>
      </c>
      <c r="K2969" s="250">
        <v>1</v>
      </c>
      <c r="L2969" s="250">
        <v>2400</v>
      </c>
    </row>
    <row r="2970" spans="1:12" ht="15" customHeight="1" x14ac:dyDescent="0.2">
      <c r="B2970" s="250" t="s">
        <v>2109</v>
      </c>
      <c r="C2970" s="250" t="s">
        <v>3242</v>
      </c>
      <c r="D2970" s="250" t="s">
        <v>25</v>
      </c>
      <c r="K2970" s="250">
        <v>1</v>
      </c>
      <c r="L2970" s="250">
        <v>2600</v>
      </c>
    </row>
    <row r="2971" spans="1:12" ht="15" customHeight="1" x14ac:dyDescent="0.2">
      <c r="A2971" s="255" t="s">
        <v>4325</v>
      </c>
      <c r="B2971" s="250" t="s">
        <v>789</v>
      </c>
      <c r="C2971" s="250" t="s">
        <v>3242</v>
      </c>
      <c r="D2971" s="250" t="s">
        <v>756</v>
      </c>
      <c r="K2971" s="250">
        <v>1</v>
      </c>
      <c r="L2971" s="250">
        <v>750</v>
      </c>
    </row>
    <row r="2972" spans="1:12" ht="15" customHeight="1" x14ac:dyDescent="0.2">
      <c r="B2972" s="250" t="s">
        <v>790</v>
      </c>
      <c r="C2972" s="250" t="s">
        <v>3242</v>
      </c>
      <c r="D2972" s="250" t="s">
        <v>773</v>
      </c>
      <c r="K2972" s="250">
        <v>1</v>
      </c>
      <c r="L2972" s="250">
        <v>150</v>
      </c>
    </row>
    <row r="2973" spans="1:12" ht="15" customHeight="1" x14ac:dyDescent="0.2">
      <c r="A2973" s="252">
        <v>200</v>
      </c>
      <c r="B2973" s="250" t="s">
        <v>791</v>
      </c>
      <c r="C2973" s="250" t="s">
        <v>3242</v>
      </c>
      <c r="D2973" s="250" t="s">
        <v>756</v>
      </c>
      <c r="K2973" s="250">
        <v>1</v>
      </c>
      <c r="L2973" s="250">
        <v>360</v>
      </c>
    </row>
    <row r="2974" spans="1:12" ht="15" customHeight="1" x14ac:dyDescent="0.2">
      <c r="A2974" s="252">
        <v>200</v>
      </c>
      <c r="B2974" s="250" t="s">
        <v>792</v>
      </c>
      <c r="C2974" s="250" t="s">
        <v>3242</v>
      </c>
      <c r="D2974" s="250" t="s">
        <v>756</v>
      </c>
      <c r="K2974" s="250">
        <v>1</v>
      </c>
      <c r="L2974" s="250">
        <v>410</v>
      </c>
    </row>
    <row r="2975" spans="1:12" ht="15" customHeight="1" x14ac:dyDescent="0.2">
      <c r="A2975" s="252">
        <v>300</v>
      </c>
      <c r="B2975" s="250" t="s">
        <v>793</v>
      </c>
      <c r="C2975" s="250" t="s">
        <v>3242</v>
      </c>
      <c r="D2975" s="250" t="s">
        <v>756</v>
      </c>
      <c r="K2975" s="250">
        <v>1</v>
      </c>
      <c r="L2975" s="250">
        <v>380</v>
      </c>
    </row>
    <row r="2976" spans="1:12" ht="15" customHeight="1" x14ac:dyDescent="0.2">
      <c r="A2976" s="252">
        <v>300</v>
      </c>
      <c r="B2976" s="250" t="s">
        <v>794</v>
      </c>
      <c r="C2976" s="250" t="s">
        <v>3242</v>
      </c>
      <c r="D2976" s="250" t="s">
        <v>756</v>
      </c>
      <c r="K2976" s="250">
        <v>1</v>
      </c>
      <c r="L2976" s="250">
        <v>420</v>
      </c>
    </row>
    <row r="2977" spans="1:12" ht="15" customHeight="1" x14ac:dyDescent="0.2">
      <c r="A2977" s="252">
        <v>300</v>
      </c>
      <c r="B2977" s="250" t="s">
        <v>795</v>
      </c>
      <c r="C2977" s="250" t="s">
        <v>3242</v>
      </c>
      <c r="D2977" s="250" t="s">
        <v>756</v>
      </c>
      <c r="K2977" s="250">
        <v>1</v>
      </c>
      <c r="L2977" s="250">
        <v>490</v>
      </c>
    </row>
    <row r="2978" spans="1:12" ht="15" customHeight="1" x14ac:dyDescent="0.2">
      <c r="A2978" s="252">
        <v>400</v>
      </c>
      <c r="B2978" s="250" t="s">
        <v>796</v>
      </c>
      <c r="C2978" s="250" t="s">
        <v>3242</v>
      </c>
      <c r="D2978" s="250" t="s">
        <v>756</v>
      </c>
      <c r="K2978" s="250">
        <v>1</v>
      </c>
      <c r="L2978" s="250">
        <v>430</v>
      </c>
    </row>
    <row r="2979" spans="1:12" ht="15" customHeight="1" x14ac:dyDescent="0.2">
      <c r="A2979" s="252">
        <v>400</v>
      </c>
      <c r="B2979" s="250" t="s">
        <v>797</v>
      </c>
      <c r="C2979" s="250" t="s">
        <v>3242</v>
      </c>
      <c r="D2979" s="250" t="s">
        <v>756</v>
      </c>
      <c r="K2979" s="250">
        <v>1</v>
      </c>
      <c r="L2979" s="250">
        <v>520</v>
      </c>
    </row>
    <row r="2980" spans="1:12" ht="15" customHeight="1" x14ac:dyDescent="0.2">
      <c r="A2980" s="252">
        <v>400</v>
      </c>
      <c r="B2980" s="250" t="s">
        <v>798</v>
      </c>
      <c r="C2980" s="250" t="s">
        <v>3242</v>
      </c>
      <c r="D2980" s="250" t="s">
        <v>756</v>
      </c>
      <c r="K2980" s="250">
        <v>1</v>
      </c>
      <c r="L2980" s="250">
        <v>600</v>
      </c>
    </row>
    <row r="2981" spans="1:12" ht="15" customHeight="1" x14ac:dyDescent="0.2">
      <c r="A2981" s="252">
        <v>500</v>
      </c>
      <c r="B2981" s="250" t="s">
        <v>2110</v>
      </c>
      <c r="C2981" s="250" t="s">
        <v>3242</v>
      </c>
      <c r="D2981" s="250" t="s">
        <v>756</v>
      </c>
      <c r="K2981" s="250">
        <v>1</v>
      </c>
      <c r="L2981" s="250">
        <v>630</v>
      </c>
    </row>
    <row r="2982" spans="1:12" ht="15" customHeight="1" x14ac:dyDescent="0.2">
      <c r="A2982" s="252">
        <v>500</v>
      </c>
      <c r="B2982" s="250" t="s">
        <v>2111</v>
      </c>
      <c r="C2982" s="250" t="s">
        <v>3242</v>
      </c>
      <c r="D2982" s="250" t="s">
        <v>756</v>
      </c>
      <c r="K2982" s="250">
        <v>1</v>
      </c>
      <c r="L2982" s="250">
        <v>720</v>
      </c>
    </row>
    <row r="2983" spans="1:12" ht="15" customHeight="1" x14ac:dyDescent="0.2">
      <c r="A2983" s="252">
        <v>600</v>
      </c>
      <c r="B2983" s="250" t="s">
        <v>799</v>
      </c>
      <c r="C2983" s="250" t="s">
        <v>3242</v>
      </c>
      <c r="D2983" s="250" t="s">
        <v>756</v>
      </c>
      <c r="K2983" s="250">
        <v>1</v>
      </c>
      <c r="L2983" s="250">
        <v>550</v>
      </c>
    </row>
    <row r="2984" spans="1:12" ht="15" customHeight="1" x14ac:dyDescent="0.2">
      <c r="A2984" s="252">
        <v>600</v>
      </c>
      <c r="B2984" s="250" t="s">
        <v>800</v>
      </c>
      <c r="C2984" s="250" t="s">
        <v>3242</v>
      </c>
      <c r="D2984" s="250" t="s">
        <v>756</v>
      </c>
      <c r="K2984" s="250">
        <v>1</v>
      </c>
      <c r="L2984" s="250">
        <v>660</v>
      </c>
    </row>
    <row r="2985" spans="1:12" ht="15" customHeight="1" x14ac:dyDescent="0.2">
      <c r="A2985" s="252">
        <v>600</v>
      </c>
      <c r="B2985" s="250" t="s">
        <v>801</v>
      </c>
      <c r="C2985" s="250" t="s">
        <v>3242</v>
      </c>
      <c r="D2985" s="250" t="s">
        <v>756</v>
      </c>
      <c r="K2985" s="250">
        <v>1</v>
      </c>
      <c r="L2985" s="250">
        <v>780</v>
      </c>
    </row>
    <row r="2986" spans="1:12" ht="15" customHeight="1" x14ac:dyDescent="0.2">
      <c r="B2986" s="250" t="s">
        <v>802</v>
      </c>
      <c r="C2986" s="250" t="s">
        <v>3242</v>
      </c>
      <c r="D2986" s="250" t="s">
        <v>25</v>
      </c>
      <c r="K2986" s="250">
        <v>1</v>
      </c>
      <c r="L2986" s="250">
        <v>4500</v>
      </c>
    </row>
    <row r="2987" spans="1:12" ht="15" customHeight="1" x14ac:dyDescent="0.2">
      <c r="B2987" s="250" t="s">
        <v>163</v>
      </c>
      <c r="C2987" s="250" t="s">
        <v>3242</v>
      </c>
      <c r="D2987" s="250" t="s">
        <v>25</v>
      </c>
      <c r="K2987" s="250">
        <v>1</v>
      </c>
      <c r="L2987" s="250">
        <v>4800</v>
      </c>
    </row>
    <row r="2988" spans="1:12" ht="15" customHeight="1" x14ac:dyDescent="0.2">
      <c r="B2988" s="250" t="s">
        <v>803</v>
      </c>
      <c r="C2988" s="250" t="s">
        <v>3242</v>
      </c>
      <c r="D2988" s="250" t="s">
        <v>25</v>
      </c>
      <c r="K2988" s="250">
        <v>1</v>
      </c>
      <c r="L2988" s="250">
        <v>5100</v>
      </c>
    </row>
    <row r="2989" spans="1:12" ht="15" customHeight="1" x14ac:dyDescent="0.2">
      <c r="B2989" s="250" t="s">
        <v>804</v>
      </c>
      <c r="C2989" s="250" t="s">
        <v>3242</v>
      </c>
      <c r="D2989" s="250" t="s">
        <v>25</v>
      </c>
      <c r="K2989" s="250">
        <v>1</v>
      </c>
      <c r="L2989" s="250">
        <v>5000</v>
      </c>
    </row>
    <row r="2990" spans="1:12" ht="15" customHeight="1" x14ac:dyDescent="0.2">
      <c r="B2990" s="250" t="s">
        <v>805</v>
      </c>
      <c r="C2990" s="250" t="s">
        <v>3242</v>
      </c>
      <c r="D2990" s="250" t="s">
        <v>25</v>
      </c>
      <c r="K2990" s="250">
        <v>1</v>
      </c>
      <c r="L2990" s="250">
        <v>5300</v>
      </c>
    </row>
    <row r="2991" spans="1:12" ht="15" customHeight="1" x14ac:dyDescent="0.2">
      <c r="B2991" s="250" t="s">
        <v>806</v>
      </c>
      <c r="C2991" s="250" t="s">
        <v>3242</v>
      </c>
      <c r="D2991" s="250" t="s">
        <v>25</v>
      </c>
      <c r="K2991" s="250">
        <v>1</v>
      </c>
      <c r="L2991" s="250">
        <v>5600</v>
      </c>
    </row>
    <row r="2992" spans="1:12" ht="15" customHeight="1" x14ac:dyDescent="0.2">
      <c r="B2992" s="250" t="s">
        <v>807</v>
      </c>
      <c r="C2992" s="250" t="s">
        <v>3242</v>
      </c>
      <c r="D2992" s="250" t="s">
        <v>25</v>
      </c>
      <c r="K2992" s="250">
        <v>1</v>
      </c>
      <c r="L2992" s="250">
        <v>5900</v>
      </c>
    </row>
    <row r="2993" spans="2:12" ht="15" customHeight="1" x14ac:dyDescent="0.2">
      <c r="B2993" s="250" t="s">
        <v>164</v>
      </c>
      <c r="C2993" s="250" t="s">
        <v>3242</v>
      </c>
      <c r="D2993" s="250" t="s">
        <v>725</v>
      </c>
      <c r="K2993" s="250">
        <v>1</v>
      </c>
      <c r="L2993" s="250">
        <v>380</v>
      </c>
    </row>
    <row r="2994" spans="2:12" ht="15" customHeight="1" x14ac:dyDescent="0.2">
      <c r="B2994" s="250" t="s">
        <v>808</v>
      </c>
      <c r="C2994" s="250" t="s">
        <v>3242</v>
      </c>
      <c r="D2994" s="250" t="s">
        <v>725</v>
      </c>
      <c r="K2994" s="250">
        <v>1</v>
      </c>
      <c r="L2994" s="250">
        <v>420</v>
      </c>
    </row>
    <row r="2995" spans="2:12" ht="15" customHeight="1" x14ac:dyDescent="0.2">
      <c r="B2995" s="250" t="s">
        <v>809</v>
      </c>
      <c r="C2995" s="250" t="s">
        <v>3242</v>
      </c>
      <c r="D2995" s="250" t="s">
        <v>725</v>
      </c>
      <c r="K2995" s="250">
        <v>1</v>
      </c>
      <c r="L2995" s="250">
        <v>480</v>
      </c>
    </row>
    <row r="2996" spans="2:12" ht="15" customHeight="1" x14ac:dyDescent="0.2">
      <c r="B2996" s="250" t="s">
        <v>168</v>
      </c>
      <c r="C2996" s="250" t="s">
        <v>3242</v>
      </c>
      <c r="D2996" s="250" t="s">
        <v>118</v>
      </c>
      <c r="K2996" s="250">
        <v>1</v>
      </c>
      <c r="L2996" s="250">
        <v>240</v>
      </c>
    </row>
    <row r="2997" spans="2:12" ht="15" customHeight="1" x14ac:dyDescent="0.2">
      <c r="B2997" s="250" t="s">
        <v>833</v>
      </c>
      <c r="C2997" s="250" t="s">
        <v>3242</v>
      </c>
      <c r="D2997" s="250" t="s">
        <v>118</v>
      </c>
      <c r="K2997" s="250">
        <v>1</v>
      </c>
      <c r="L2997" s="250">
        <v>220</v>
      </c>
    </row>
    <row r="2998" spans="2:12" ht="15" customHeight="1" x14ac:dyDescent="0.2">
      <c r="B2998" s="250" t="s">
        <v>155</v>
      </c>
      <c r="C2998" s="250" t="s">
        <v>3242</v>
      </c>
      <c r="D2998" s="250" t="s">
        <v>834</v>
      </c>
      <c r="K2998" s="250">
        <v>1</v>
      </c>
      <c r="L2998" s="250">
        <v>350</v>
      </c>
    </row>
    <row r="2999" spans="2:12" ht="15" customHeight="1" x14ac:dyDescent="0.2">
      <c r="B2999" s="250" t="s">
        <v>835</v>
      </c>
      <c r="C2999" s="250" t="s">
        <v>3242</v>
      </c>
      <c r="D2999" s="250" t="s">
        <v>834</v>
      </c>
      <c r="K2999" s="250">
        <v>1</v>
      </c>
      <c r="L2999" s="250">
        <v>290</v>
      </c>
    </row>
    <row r="3000" spans="2:12" ht="15" customHeight="1" x14ac:dyDescent="0.2">
      <c r="B3000" s="250" t="s">
        <v>810</v>
      </c>
      <c r="C3000" s="250" t="s">
        <v>3242</v>
      </c>
      <c r="D3000" s="250" t="s">
        <v>25</v>
      </c>
      <c r="K3000" s="250">
        <v>1</v>
      </c>
      <c r="L3000" s="250">
        <v>1500</v>
      </c>
    </row>
    <row r="3001" spans="2:12" ht="15" customHeight="1" x14ac:dyDescent="0.2">
      <c r="B3001" s="250" t="s">
        <v>811</v>
      </c>
      <c r="C3001" s="250" t="s">
        <v>3242</v>
      </c>
      <c r="D3001" s="250" t="s">
        <v>25</v>
      </c>
      <c r="K3001" s="250">
        <v>1</v>
      </c>
      <c r="L3001" s="250">
        <v>1500</v>
      </c>
    </row>
    <row r="3002" spans="2:12" ht="15" customHeight="1" x14ac:dyDescent="0.2">
      <c r="B3002" s="250" t="s">
        <v>812</v>
      </c>
      <c r="C3002" s="250" t="s">
        <v>3242</v>
      </c>
      <c r="D3002" s="250" t="s">
        <v>25</v>
      </c>
      <c r="K3002" s="250">
        <v>1</v>
      </c>
      <c r="L3002" s="250">
        <v>1700</v>
      </c>
    </row>
    <row r="3003" spans="2:12" ht="15" customHeight="1" x14ac:dyDescent="0.2">
      <c r="B3003" s="250" t="s">
        <v>813</v>
      </c>
      <c r="C3003" s="250" t="s">
        <v>3242</v>
      </c>
      <c r="D3003" s="250" t="s">
        <v>25</v>
      </c>
      <c r="K3003" s="250">
        <v>1</v>
      </c>
      <c r="L3003" s="250">
        <v>1700</v>
      </c>
    </row>
    <row r="3004" spans="2:12" ht="15" customHeight="1" x14ac:dyDescent="0.2">
      <c r="B3004" s="250" t="s">
        <v>2150</v>
      </c>
      <c r="C3004" s="250" t="s">
        <v>3242</v>
      </c>
      <c r="D3004" s="250" t="s">
        <v>25</v>
      </c>
      <c r="K3004" s="250">
        <v>1</v>
      </c>
      <c r="L3004" s="250">
        <v>1800</v>
      </c>
    </row>
    <row r="3005" spans="2:12" ht="15" customHeight="1" x14ac:dyDescent="0.2">
      <c r="B3005" s="250" t="s">
        <v>814</v>
      </c>
      <c r="C3005" s="250" t="s">
        <v>3242</v>
      </c>
      <c r="D3005" s="250" t="s">
        <v>25</v>
      </c>
      <c r="K3005" s="250">
        <v>1</v>
      </c>
      <c r="L3005" s="250">
        <v>1800</v>
      </c>
    </row>
    <row r="3006" spans="2:12" ht="15" customHeight="1" x14ac:dyDescent="0.2">
      <c r="B3006" s="250" t="s">
        <v>141</v>
      </c>
      <c r="C3006" s="250" t="s">
        <v>3242</v>
      </c>
      <c r="D3006" s="250" t="s">
        <v>25</v>
      </c>
      <c r="K3006" s="250">
        <v>1</v>
      </c>
      <c r="L3006" s="250">
        <v>1900</v>
      </c>
    </row>
    <row r="3007" spans="2:12" ht="15" customHeight="1" x14ac:dyDescent="0.2">
      <c r="B3007" s="250" t="s">
        <v>815</v>
      </c>
      <c r="C3007" s="250" t="s">
        <v>3242</v>
      </c>
      <c r="D3007" s="250" t="s">
        <v>25</v>
      </c>
      <c r="K3007" s="250">
        <v>1</v>
      </c>
      <c r="L3007" s="250">
        <v>2000</v>
      </c>
    </row>
    <row r="3008" spans="2:12" ht="15" customHeight="1" x14ac:dyDescent="0.2">
      <c r="B3008" s="250" t="s">
        <v>816</v>
      </c>
      <c r="C3008" s="250" t="s">
        <v>3242</v>
      </c>
      <c r="D3008" s="250" t="s">
        <v>25</v>
      </c>
      <c r="K3008" s="250">
        <v>1</v>
      </c>
      <c r="L3008" s="250">
        <v>1500</v>
      </c>
    </row>
    <row r="3009" spans="2:12" ht="15" customHeight="1" x14ac:dyDescent="0.2">
      <c r="B3009" s="250" t="s">
        <v>2147</v>
      </c>
      <c r="C3009" s="250" t="s">
        <v>3242</v>
      </c>
      <c r="D3009" s="250" t="s">
        <v>25</v>
      </c>
      <c r="K3009" s="250">
        <v>1</v>
      </c>
      <c r="L3009" s="250">
        <v>1500</v>
      </c>
    </row>
    <row r="3010" spans="2:12" ht="15" customHeight="1" x14ac:dyDescent="0.2">
      <c r="B3010" s="250" t="s">
        <v>2148</v>
      </c>
      <c r="C3010" s="250" t="s">
        <v>3242</v>
      </c>
      <c r="D3010" s="250" t="s">
        <v>25</v>
      </c>
      <c r="K3010" s="250">
        <v>1</v>
      </c>
      <c r="L3010" s="250">
        <v>1700</v>
      </c>
    </row>
    <row r="3011" spans="2:12" ht="15" customHeight="1" x14ac:dyDescent="0.2">
      <c r="B3011" s="250" t="s">
        <v>817</v>
      </c>
      <c r="C3011" s="250" t="s">
        <v>3242</v>
      </c>
      <c r="D3011" s="250" t="s">
        <v>25</v>
      </c>
      <c r="K3011" s="250">
        <v>1</v>
      </c>
      <c r="L3011" s="250">
        <v>1700</v>
      </c>
    </row>
    <row r="3012" spans="2:12" ht="15" customHeight="1" x14ac:dyDescent="0.2">
      <c r="B3012" s="250" t="s">
        <v>2149</v>
      </c>
      <c r="C3012" s="250" t="s">
        <v>3242</v>
      </c>
      <c r="D3012" s="250" t="s">
        <v>25</v>
      </c>
      <c r="K3012" s="250">
        <v>1</v>
      </c>
      <c r="L3012" s="250">
        <v>1800</v>
      </c>
    </row>
    <row r="3013" spans="2:12" ht="15" customHeight="1" x14ac:dyDescent="0.2">
      <c r="B3013" s="250" t="s">
        <v>818</v>
      </c>
      <c r="C3013" s="250" t="s">
        <v>3242</v>
      </c>
      <c r="D3013" s="250" t="s">
        <v>25</v>
      </c>
      <c r="K3013" s="250">
        <v>1</v>
      </c>
      <c r="L3013" s="250">
        <v>1800</v>
      </c>
    </row>
    <row r="3014" spans="2:12" ht="15" customHeight="1" x14ac:dyDescent="0.2">
      <c r="B3014" s="250" t="s">
        <v>819</v>
      </c>
      <c r="C3014" s="250" t="s">
        <v>3242</v>
      </c>
      <c r="D3014" s="250" t="s">
        <v>25</v>
      </c>
      <c r="K3014" s="250">
        <v>1</v>
      </c>
      <c r="L3014" s="250">
        <v>1900</v>
      </c>
    </row>
    <row r="3015" spans="2:12" ht="15" customHeight="1" x14ac:dyDescent="0.2">
      <c r="B3015" s="250" t="s">
        <v>820</v>
      </c>
      <c r="C3015" s="250" t="s">
        <v>3242</v>
      </c>
      <c r="D3015" s="250" t="s">
        <v>25</v>
      </c>
      <c r="K3015" s="250">
        <v>1</v>
      </c>
      <c r="L3015" s="250">
        <v>2000</v>
      </c>
    </row>
    <row r="3016" spans="2:12" ht="15" customHeight="1" x14ac:dyDescent="0.2">
      <c r="B3016" s="250" t="s">
        <v>3028</v>
      </c>
      <c r="C3016" s="250" t="s">
        <v>3242</v>
      </c>
      <c r="D3016" s="250" t="s">
        <v>25</v>
      </c>
      <c r="K3016" s="250">
        <v>1</v>
      </c>
      <c r="L3016" s="250">
        <v>1500</v>
      </c>
    </row>
    <row r="3017" spans="2:12" ht="15" customHeight="1" x14ac:dyDescent="0.2">
      <c r="B3017" s="250" t="s">
        <v>3029</v>
      </c>
      <c r="C3017" s="250" t="s">
        <v>3242</v>
      </c>
      <c r="D3017" s="250" t="s">
        <v>25</v>
      </c>
      <c r="K3017" s="250">
        <v>1</v>
      </c>
      <c r="L3017" s="250">
        <v>1500</v>
      </c>
    </row>
    <row r="3018" spans="2:12" ht="15" customHeight="1" x14ac:dyDescent="0.2">
      <c r="B3018" s="250" t="s">
        <v>3030</v>
      </c>
      <c r="C3018" s="250" t="s">
        <v>3242</v>
      </c>
      <c r="D3018" s="250" t="s">
        <v>25</v>
      </c>
      <c r="K3018" s="250">
        <v>1</v>
      </c>
      <c r="L3018" s="250">
        <v>1700</v>
      </c>
    </row>
    <row r="3019" spans="2:12" ht="15" customHeight="1" x14ac:dyDescent="0.2">
      <c r="B3019" s="250" t="s">
        <v>3031</v>
      </c>
      <c r="C3019" s="250" t="s">
        <v>3242</v>
      </c>
      <c r="D3019" s="250" t="s">
        <v>25</v>
      </c>
      <c r="K3019" s="250">
        <v>1</v>
      </c>
      <c r="L3019" s="250">
        <v>1700</v>
      </c>
    </row>
    <row r="3020" spans="2:12" ht="15" customHeight="1" x14ac:dyDescent="0.2">
      <c r="B3020" s="250" t="s">
        <v>3032</v>
      </c>
      <c r="C3020" s="250" t="s">
        <v>3242</v>
      </c>
      <c r="D3020" s="250" t="s">
        <v>25</v>
      </c>
      <c r="K3020" s="250">
        <v>1</v>
      </c>
      <c r="L3020" s="250">
        <v>1800</v>
      </c>
    </row>
    <row r="3021" spans="2:12" ht="15" customHeight="1" x14ac:dyDescent="0.2">
      <c r="B3021" s="250" t="s">
        <v>3033</v>
      </c>
      <c r="C3021" s="250" t="s">
        <v>3242</v>
      </c>
      <c r="D3021" s="250" t="s">
        <v>25</v>
      </c>
      <c r="K3021" s="250">
        <v>1</v>
      </c>
      <c r="L3021" s="250">
        <v>1800</v>
      </c>
    </row>
    <row r="3022" spans="2:12" ht="15" customHeight="1" x14ac:dyDescent="0.2">
      <c r="B3022" s="250" t="s">
        <v>3978</v>
      </c>
      <c r="C3022" s="250" t="s">
        <v>3242</v>
      </c>
      <c r="D3022" s="250" t="s">
        <v>25</v>
      </c>
      <c r="K3022" s="250">
        <v>1</v>
      </c>
      <c r="L3022" s="250">
        <v>1900</v>
      </c>
    </row>
    <row r="3023" spans="2:12" ht="15" customHeight="1" x14ac:dyDescent="0.2">
      <c r="B3023" s="250" t="s">
        <v>4326</v>
      </c>
      <c r="C3023" s="250" t="s">
        <v>3242</v>
      </c>
      <c r="D3023" s="250" t="s">
        <v>25</v>
      </c>
      <c r="K3023" s="250">
        <v>1</v>
      </c>
      <c r="L3023" s="250">
        <v>2000</v>
      </c>
    </row>
    <row r="3024" spans="2:12" ht="15" customHeight="1" x14ac:dyDescent="0.2">
      <c r="B3024" s="250" t="s">
        <v>3034</v>
      </c>
      <c r="C3024" s="250" t="s">
        <v>3242</v>
      </c>
      <c r="D3024" s="250" t="s">
        <v>25</v>
      </c>
      <c r="K3024" s="250">
        <v>1</v>
      </c>
      <c r="L3024" s="250">
        <v>1500</v>
      </c>
    </row>
    <row r="3025" spans="2:12" ht="15" customHeight="1" x14ac:dyDescent="0.2">
      <c r="B3025" s="250" t="s">
        <v>3035</v>
      </c>
      <c r="C3025" s="250" t="s">
        <v>3242</v>
      </c>
      <c r="D3025" s="250" t="s">
        <v>25</v>
      </c>
      <c r="K3025" s="250">
        <v>1</v>
      </c>
      <c r="L3025" s="250">
        <v>1500</v>
      </c>
    </row>
    <row r="3026" spans="2:12" ht="15" customHeight="1" x14ac:dyDescent="0.2">
      <c r="B3026" s="250" t="s">
        <v>3036</v>
      </c>
      <c r="C3026" s="250" t="s">
        <v>3242</v>
      </c>
      <c r="D3026" s="250" t="s">
        <v>25</v>
      </c>
      <c r="K3026" s="250">
        <v>1</v>
      </c>
      <c r="L3026" s="250">
        <v>1700</v>
      </c>
    </row>
    <row r="3027" spans="2:12" ht="15" customHeight="1" x14ac:dyDescent="0.2">
      <c r="B3027" s="250" t="s">
        <v>3037</v>
      </c>
      <c r="C3027" s="250" t="s">
        <v>3242</v>
      </c>
      <c r="D3027" s="250" t="s">
        <v>25</v>
      </c>
      <c r="K3027" s="250">
        <v>1</v>
      </c>
      <c r="L3027" s="250">
        <v>1700</v>
      </c>
    </row>
    <row r="3028" spans="2:12" ht="15" customHeight="1" x14ac:dyDescent="0.2">
      <c r="B3028" s="250" t="s">
        <v>3038</v>
      </c>
      <c r="C3028" s="250" t="s">
        <v>3242</v>
      </c>
      <c r="D3028" s="250" t="s">
        <v>25</v>
      </c>
      <c r="K3028" s="250">
        <v>1</v>
      </c>
      <c r="L3028" s="250">
        <v>1800</v>
      </c>
    </row>
    <row r="3029" spans="2:12" ht="15" customHeight="1" x14ac:dyDescent="0.2">
      <c r="B3029" s="250" t="s">
        <v>3039</v>
      </c>
      <c r="C3029" s="250" t="s">
        <v>3242</v>
      </c>
      <c r="D3029" s="250" t="s">
        <v>25</v>
      </c>
      <c r="K3029" s="250">
        <v>1</v>
      </c>
      <c r="L3029" s="250">
        <v>1800</v>
      </c>
    </row>
    <row r="3030" spans="2:12" ht="15" customHeight="1" x14ac:dyDescent="0.2">
      <c r="B3030" s="250" t="s">
        <v>3040</v>
      </c>
      <c r="C3030" s="250" t="s">
        <v>3242</v>
      </c>
      <c r="D3030" s="250" t="s">
        <v>25</v>
      </c>
      <c r="K3030" s="250">
        <v>1</v>
      </c>
      <c r="L3030" s="250">
        <v>1900</v>
      </c>
    </row>
    <row r="3031" spans="2:12" ht="15" customHeight="1" x14ac:dyDescent="0.2">
      <c r="B3031" s="250" t="s">
        <v>4327</v>
      </c>
      <c r="C3031" s="250" t="s">
        <v>3242</v>
      </c>
      <c r="D3031" s="250" t="s">
        <v>25</v>
      </c>
      <c r="K3031" s="250">
        <v>1</v>
      </c>
      <c r="L3031" s="250">
        <v>2000</v>
      </c>
    </row>
    <row r="3032" spans="2:12" ht="15" customHeight="1" x14ac:dyDescent="0.2">
      <c r="B3032" s="250" t="s">
        <v>142</v>
      </c>
      <c r="C3032" s="250" t="s">
        <v>3242</v>
      </c>
      <c r="D3032" s="250" t="s">
        <v>725</v>
      </c>
      <c r="K3032" s="250">
        <v>1</v>
      </c>
      <c r="L3032" s="250">
        <v>180</v>
      </c>
    </row>
    <row r="3033" spans="2:12" ht="15" customHeight="1" x14ac:dyDescent="0.2">
      <c r="B3033" s="250" t="s">
        <v>821</v>
      </c>
      <c r="C3033" s="250" t="s">
        <v>3242</v>
      </c>
      <c r="D3033" s="250" t="s">
        <v>725</v>
      </c>
      <c r="K3033" s="250">
        <v>1</v>
      </c>
      <c r="L3033" s="250">
        <v>180</v>
      </c>
    </row>
    <row r="3034" spans="2:12" ht="15" customHeight="1" x14ac:dyDescent="0.2">
      <c r="B3034" s="250" t="s">
        <v>4328</v>
      </c>
      <c r="C3034" s="250" t="s">
        <v>3242</v>
      </c>
      <c r="D3034" s="250" t="s">
        <v>25</v>
      </c>
      <c r="K3034" s="250">
        <v>1</v>
      </c>
      <c r="L3034" s="250">
        <v>15500</v>
      </c>
    </row>
    <row r="3035" spans="2:12" ht="15" customHeight="1" x14ac:dyDescent="0.2">
      <c r="B3035" s="250" t="s">
        <v>4329</v>
      </c>
      <c r="C3035" s="250" t="s">
        <v>3242</v>
      </c>
      <c r="D3035" s="250" t="s">
        <v>25</v>
      </c>
      <c r="K3035" s="250">
        <v>1</v>
      </c>
      <c r="L3035" s="250">
        <v>3200</v>
      </c>
    </row>
    <row r="3036" spans="2:12" ht="15" customHeight="1" x14ac:dyDescent="0.2">
      <c r="B3036" s="250" t="s">
        <v>4330</v>
      </c>
      <c r="C3036" s="250" t="s">
        <v>3242</v>
      </c>
      <c r="D3036" s="250" t="s">
        <v>25</v>
      </c>
      <c r="K3036" s="250">
        <v>1</v>
      </c>
      <c r="L3036" s="250">
        <v>3600</v>
      </c>
    </row>
    <row r="3037" spans="2:12" ht="15" customHeight="1" x14ac:dyDescent="0.2">
      <c r="B3037" s="250" t="s">
        <v>3979</v>
      </c>
      <c r="C3037" s="250" t="s">
        <v>3242</v>
      </c>
      <c r="D3037" s="250" t="s">
        <v>25</v>
      </c>
      <c r="K3037" s="250">
        <v>1</v>
      </c>
      <c r="L3037" s="250">
        <v>3200</v>
      </c>
    </row>
    <row r="3038" spans="2:12" ht="15" customHeight="1" x14ac:dyDescent="0.2">
      <c r="B3038" s="250" t="s">
        <v>4331</v>
      </c>
      <c r="C3038" s="250" t="s">
        <v>3242</v>
      </c>
      <c r="D3038" s="250" t="s">
        <v>25</v>
      </c>
      <c r="K3038" s="250">
        <v>1</v>
      </c>
      <c r="L3038" s="250">
        <v>3600</v>
      </c>
    </row>
    <row r="3039" spans="2:12" ht="15" customHeight="1" x14ac:dyDescent="0.2">
      <c r="B3039" s="250" t="s">
        <v>3980</v>
      </c>
      <c r="C3039" s="250" t="s">
        <v>3242</v>
      </c>
      <c r="D3039" s="250" t="s">
        <v>25</v>
      </c>
      <c r="K3039" s="250">
        <v>1</v>
      </c>
      <c r="L3039" s="250">
        <v>1400</v>
      </c>
    </row>
    <row r="3040" spans="2:12" ht="15" customHeight="1" x14ac:dyDescent="0.2">
      <c r="B3040" s="250" t="s">
        <v>4332</v>
      </c>
      <c r="C3040" s="250" t="s">
        <v>3242</v>
      </c>
      <c r="D3040" s="250" t="s">
        <v>25</v>
      </c>
      <c r="K3040" s="250">
        <v>1</v>
      </c>
      <c r="L3040" s="250">
        <v>1400</v>
      </c>
    </row>
    <row r="3041" spans="2:12" ht="15" customHeight="1" x14ac:dyDescent="0.2">
      <c r="B3041" s="250" t="s">
        <v>4333</v>
      </c>
      <c r="C3041" s="250" t="s">
        <v>3242</v>
      </c>
      <c r="D3041" s="250" t="s">
        <v>25</v>
      </c>
      <c r="K3041" s="250">
        <v>1</v>
      </c>
      <c r="L3041" s="250">
        <v>1500</v>
      </c>
    </row>
    <row r="3042" spans="2:12" ht="15" customHeight="1" x14ac:dyDescent="0.2">
      <c r="B3042" s="250" t="s">
        <v>3981</v>
      </c>
      <c r="C3042" s="250" t="s">
        <v>3242</v>
      </c>
      <c r="D3042" s="250" t="s">
        <v>25</v>
      </c>
      <c r="K3042" s="250">
        <v>1</v>
      </c>
      <c r="L3042" s="250">
        <v>1700</v>
      </c>
    </row>
    <row r="3043" spans="2:12" ht="15" customHeight="1" x14ac:dyDescent="0.2">
      <c r="B3043" s="250" t="s">
        <v>3982</v>
      </c>
      <c r="C3043" s="250" t="s">
        <v>3242</v>
      </c>
      <c r="D3043" s="250" t="s">
        <v>25</v>
      </c>
      <c r="K3043" s="250">
        <v>1</v>
      </c>
      <c r="L3043" s="250">
        <v>1700</v>
      </c>
    </row>
    <row r="3044" spans="2:12" ht="15" customHeight="1" x14ac:dyDescent="0.2">
      <c r="B3044" s="250" t="s">
        <v>4334</v>
      </c>
      <c r="C3044" s="250" t="s">
        <v>3242</v>
      </c>
      <c r="D3044" s="250" t="s">
        <v>25</v>
      </c>
      <c r="K3044" s="250">
        <v>1</v>
      </c>
      <c r="L3044" s="250">
        <v>1800</v>
      </c>
    </row>
    <row r="3045" spans="2:12" ht="15" customHeight="1" x14ac:dyDescent="0.2">
      <c r="B3045" s="250" t="s">
        <v>4335</v>
      </c>
      <c r="C3045" s="250" t="s">
        <v>3242</v>
      </c>
      <c r="D3045" s="250" t="s">
        <v>25</v>
      </c>
      <c r="K3045" s="250">
        <v>1</v>
      </c>
      <c r="L3045" s="250">
        <v>1800</v>
      </c>
    </row>
    <row r="3046" spans="2:12" ht="15" customHeight="1" x14ac:dyDescent="0.2">
      <c r="B3046" s="250" t="s">
        <v>4336</v>
      </c>
      <c r="C3046" s="250" t="s">
        <v>3242</v>
      </c>
      <c r="D3046" s="250" t="s">
        <v>25</v>
      </c>
      <c r="K3046" s="250">
        <v>1</v>
      </c>
      <c r="L3046" s="250">
        <v>1900</v>
      </c>
    </row>
    <row r="3047" spans="2:12" ht="15" customHeight="1" x14ac:dyDescent="0.2">
      <c r="B3047" s="250" t="s">
        <v>4337</v>
      </c>
      <c r="C3047" s="250" t="s">
        <v>3242</v>
      </c>
      <c r="D3047" s="250" t="s">
        <v>25</v>
      </c>
      <c r="K3047" s="250">
        <v>1</v>
      </c>
      <c r="L3047" s="250">
        <v>1885</v>
      </c>
    </row>
    <row r="3048" spans="2:12" ht="15" customHeight="1" x14ac:dyDescent="0.2">
      <c r="B3048" s="250" t="s">
        <v>2238</v>
      </c>
      <c r="C3048" s="250" t="s">
        <v>3242</v>
      </c>
      <c r="D3048" s="250" t="s">
        <v>25</v>
      </c>
      <c r="K3048" s="250">
        <v>1</v>
      </c>
      <c r="L3048" s="250">
        <v>1400</v>
      </c>
    </row>
    <row r="3049" spans="2:12" ht="15" customHeight="1" x14ac:dyDescent="0.2">
      <c r="B3049" s="250" t="s">
        <v>2239</v>
      </c>
      <c r="C3049" s="250" t="s">
        <v>3242</v>
      </c>
      <c r="D3049" s="250" t="s">
        <v>25</v>
      </c>
      <c r="K3049" s="250">
        <v>1</v>
      </c>
      <c r="L3049" s="250">
        <v>1400</v>
      </c>
    </row>
    <row r="3050" spans="2:12" ht="15" customHeight="1" x14ac:dyDescent="0.2">
      <c r="B3050" s="250" t="s">
        <v>2240</v>
      </c>
      <c r="C3050" s="250" t="s">
        <v>3242</v>
      </c>
      <c r="D3050" s="250" t="s">
        <v>25</v>
      </c>
      <c r="K3050" s="250">
        <v>1</v>
      </c>
      <c r="L3050" s="250">
        <v>1500</v>
      </c>
    </row>
    <row r="3051" spans="2:12" ht="15" customHeight="1" x14ac:dyDescent="0.2">
      <c r="B3051" s="250" t="s">
        <v>2241</v>
      </c>
      <c r="C3051" s="250" t="s">
        <v>3242</v>
      </c>
      <c r="D3051" s="250" t="s">
        <v>25</v>
      </c>
      <c r="K3051" s="250">
        <v>1</v>
      </c>
      <c r="L3051" s="250">
        <v>1700</v>
      </c>
    </row>
    <row r="3052" spans="2:12" ht="15" customHeight="1" x14ac:dyDescent="0.2">
      <c r="B3052" s="250" t="s">
        <v>2242</v>
      </c>
      <c r="C3052" s="250" t="s">
        <v>3242</v>
      </c>
      <c r="D3052" s="250" t="s">
        <v>25</v>
      </c>
      <c r="K3052" s="250">
        <v>1</v>
      </c>
      <c r="L3052" s="250">
        <v>1700</v>
      </c>
    </row>
    <row r="3053" spans="2:12" ht="15" customHeight="1" x14ac:dyDescent="0.2">
      <c r="B3053" s="250" t="s">
        <v>2243</v>
      </c>
      <c r="C3053" s="250" t="s">
        <v>3242</v>
      </c>
      <c r="D3053" s="250" t="s">
        <v>25</v>
      </c>
      <c r="K3053" s="250">
        <v>1</v>
      </c>
      <c r="L3053" s="250">
        <v>1800</v>
      </c>
    </row>
    <row r="3054" spans="2:12" ht="15" customHeight="1" x14ac:dyDescent="0.2">
      <c r="B3054" s="250" t="s">
        <v>2244</v>
      </c>
      <c r="C3054" s="250" t="s">
        <v>3242</v>
      </c>
      <c r="D3054" s="250" t="s">
        <v>25</v>
      </c>
      <c r="K3054" s="250">
        <v>1</v>
      </c>
      <c r="L3054" s="250">
        <v>1800</v>
      </c>
    </row>
    <row r="3055" spans="2:12" ht="15" customHeight="1" x14ac:dyDescent="0.2">
      <c r="B3055" s="250" t="s">
        <v>2245</v>
      </c>
      <c r="C3055" s="250" t="s">
        <v>3242</v>
      </c>
      <c r="D3055" s="250" t="s">
        <v>25</v>
      </c>
      <c r="K3055" s="250">
        <v>1</v>
      </c>
      <c r="L3055" s="250">
        <v>1900</v>
      </c>
    </row>
    <row r="3056" spans="2:12" ht="15" customHeight="1" x14ac:dyDescent="0.2">
      <c r="B3056" s="250" t="s">
        <v>2246</v>
      </c>
      <c r="C3056" s="250" t="s">
        <v>3242</v>
      </c>
      <c r="D3056" s="250" t="s">
        <v>25</v>
      </c>
      <c r="K3056" s="250">
        <v>1</v>
      </c>
      <c r="L3056" s="250">
        <v>1650</v>
      </c>
    </row>
    <row r="3057" spans="1:14" ht="15" customHeight="1" x14ac:dyDescent="0.2">
      <c r="A3057" s="256" t="s">
        <v>1813</v>
      </c>
      <c r="B3057" s="250" t="s">
        <v>4338</v>
      </c>
      <c r="C3057" s="250" t="s">
        <v>3983</v>
      </c>
      <c r="K3057" s="250">
        <v>1</v>
      </c>
    </row>
    <row r="3058" spans="1:14" ht="15" customHeight="1" x14ac:dyDescent="0.2">
      <c r="A3058" s="257" t="s">
        <v>1814</v>
      </c>
      <c r="B3058" s="258" t="s">
        <v>1815</v>
      </c>
      <c r="C3058" s="250" t="s">
        <v>3242</v>
      </c>
      <c r="D3058" s="250" t="s">
        <v>3402</v>
      </c>
      <c r="K3058" s="250">
        <v>1</v>
      </c>
      <c r="N3058" s="250">
        <v>1</v>
      </c>
    </row>
    <row r="3059" spans="1:14" ht="15" customHeight="1" x14ac:dyDescent="0.2">
      <c r="A3059" s="259" t="s">
        <v>1816</v>
      </c>
      <c r="B3059" s="260" t="s">
        <v>1817</v>
      </c>
      <c r="C3059" s="250" t="s">
        <v>3242</v>
      </c>
      <c r="D3059" s="250" t="s">
        <v>3402</v>
      </c>
      <c r="K3059" s="250">
        <v>1</v>
      </c>
      <c r="N3059" s="250">
        <v>1</v>
      </c>
    </row>
    <row r="3060" spans="1:14" ht="15" customHeight="1" x14ac:dyDescent="0.2">
      <c r="A3060" s="259" t="s">
        <v>1821</v>
      </c>
      <c r="B3060" s="260" t="s">
        <v>3984</v>
      </c>
      <c r="C3060" s="250" t="s">
        <v>3242</v>
      </c>
      <c r="D3060" s="250" t="s">
        <v>3402</v>
      </c>
      <c r="K3060" s="250">
        <v>1</v>
      </c>
      <c r="N3060" s="250">
        <v>4</v>
      </c>
    </row>
    <row r="3061" spans="1:14" ht="15" customHeight="1" x14ac:dyDescent="0.2">
      <c r="A3061" s="261" t="s">
        <v>1822</v>
      </c>
      <c r="B3061" s="262" t="s">
        <v>1823</v>
      </c>
      <c r="C3061" s="250" t="s">
        <v>3242</v>
      </c>
      <c r="D3061" s="250" t="s">
        <v>3402</v>
      </c>
      <c r="K3061" s="250">
        <v>1</v>
      </c>
      <c r="N3061" s="250">
        <v>7</v>
      </c>
    </row>
    <row r="3062" spans="1:14" ht="15" customHeight="1" x14ac:dyDescent="0.2">
      <c r="A3062" s="257" t="s">
        <v>1824</v>
      </c>
      <c r="B3062" s="258" t="s">
        <v>1825</v>
      </c>
      <c r="C3062" s="250" t="s">
        <v>3242</v>
      </c>
      <c r="D3062" s="250" t="s">
        <v>4339</v>
      </c>
      <c r="K3062" s="250">
        <v>1</v>
      </c>
      <c r="N3062" s="250">
        <v>12</v>
      </c>
    </row>
    <row r="3063" spans="1:14" ht="15" customHeight="1" x14ac:dyDescent="0.2">
      <c r="A3063" s="261"/>
      <c r="B3063" s="262" t="s">
        <v>3985</v>
      </c>
      <c r="C3063" s="250" t="s">
        <v>3242</v>
      </c>
      <c r="D3063" s="250" t="s">
        <v>3402</v>
      </c>
      <c r="K3063" s="250">
        <v>1</v>
      </c>
      <c r="N3063" s="250">
        <v>12</v>
      </c>
    </row>
    <row r="3064" spans="1:14" ht="15" customHeight="1" x14ac:dyDescent="0.2">
      <c r="A3064" s="259"/>
      <c r="B3064" s="258" t="s">
        <v>1826</v>
      </c>
      <c r="C3064" s="250" t="s">
        <v>3242</v>
      </c>
      <c r="D3064" s="250" t="s">
        <v>4339</v>
      </c>
      <c r="K3064" s="250">
        <v>1</v>
      </c>
      <c r="N3064" s="250">
        <v>12</v>
      </c>
    </row>
    <row r="3065" spans="1:14" ht="15" customHeight="1" x14ac:dyDescent="0.2">
      <c r="A3065" s="259" t="s">
        <v>1827</v>
      </c>
      <c r="B3065" s="258" t="s">
        <v>1828</v>
      </c>
      <c r="C3065" s="250" t="s">
        <v>3242</v>
      </c>
      <c r="D3065" s="250" t="s">
        <v>4339</v>
      </c>
      <c r="K3065" s="250">
        <v>1</v>
      </c>
      <c r="N3065" s="250">
        <v>18</v>
      </c>
    </row>
    <row r="3066" spans="1:14" ht="15" customHeight="1" x14ac:dyDescent="0.2">
      <c r="A3066" s="261"/>
      <c r="B3066" s="263" t="s">
        <v>1829</v>
      </c>
      <c r="C3066" s="250" t="s">
        <v>3242</v>
      </c>
      <c r="D3066" s="250" t="s">
        <v>3402</v>
      </c>
      <c r="K3066" s="250">
        <v>1</v>
      </c>
      <c r="N3066" s="250">
        <v>18</v>
      </c>
    </row>
    <row r="3067" spans="1:14" ht="15" customHeight="1" x14ac:dyDescent="0.2">
      <c r="B3067" s="250" t="s">
        <v>4340</v>
      </c>
      <c r="C3067" s="250" t="s">
        <v>3242</v>
      </c>
      <c r="D3067" s="250" t="s">
        <v>3402</v>
      </c>
      <c r="K3067" s="250">
        <v>1</v>
      </c>
      <c r="N3067" s="250">
        <v>18</v>
      </c>
    </row>
    <row r="3068" spans="1:14" ht="15" customHeight="1" x14ac:dyDescent="0.2">
      <c r="B3068" s="250" t="s">
        <v>4341</v>
      </c>
      <c r="C3068" s="250" t="s">
        <v>3242</v>
      </c>
      <c r="D3068" s="250" t="s">
        <v>3402</v>
      </c>
      <c r="K3068" s="250">
        <v>1</v>
      </c>
      <c r="N3068" s="250">
        <v>18</v>
      </c>
    </row>
    <row r="3069" spans="1:14" ht="15" customHeight="1" x14ac:dyDescent="0.2">
      <c r="A3069" s="252" t="s">
        <v>1830</v>
      </c>
      <c r="B3069" s="263" t="s">
        <v>4342</v>
      </c>
      <c r="C3069" s="250" t="s">
        <v>3242</v>
      </c>
      <c r="D3069" s="250" t="s">
        <v>3402</v>
      </c>
      <c r="K3069" s="250">
        <v>1</v>
      </c>
      <c r="N3069" s="250">
        <v>26</v>
      </c>
    </row>
    <row r="3070" spans="1:14" ht="15" customHeight="1" x14ac:dyDescent="0.2">
      <c r="B3070" s="263" t="s">
        <v>1831</v>
      </c>
      <c r="C3070" s="250" t="s">
        <v>3242</v>
      </c>
      <c r="D3070" s="250" t="s">
        <v>4339</v>
      </c>
      <c r="K3070" s="250">
        <v>1</v>
      </c>
      <c r="N3070" s="250">
        <v>26</v>
      </c>
    </row>
    <row r="3071" spans="1:14" ht="15" customHeight="1" x14ac:dyDescent="0.2">
      <c r="A3071" s="252" t="s">
        <v>1832</v>
      </c>
      <c r="B3071" s="250" t="s">
        <v>1833</v>
      </c>
      <c r="C3071" s="250" t="s">
        <v>3242</v>
      </c>
      <c r="D3071" s="250" t="s">
        <v>4339</v>
      </c>
      <c r="K3071" s="250">
        <v>1</v>
      </c>
      <c r="N3071" s="250">
        <v>30</v>
      </c>
    </row>
    <row r="3072" spans="1:14" ht="15" customHeight="1" x14ac:dyDescent="0.2">
      <c r="A3072" s="252">
        <v>36</v>
      </c>
      <c r="B3072" s="250" t="s">
        <v>1834</v>
      </c>
      <c r="C3072" s="250" t="s">
        <v>3242</v>
      </c>
      <c r="D3072" s="250" t="s">
        <v>3402</v>
      </c>
      <c r="K3072" s="250">
        <v>1</v>
      </c>
      <c r="N3072" s="250">
        <v>30</v>
      </c>
    </row>
    <row r="3073" spans="1:14" ht="15" customHeight="1" x14ac:dyDescent="0.2">
      <c r="A3073" s="252">
        <v>54</v>
      </c>
      <c r="B3073" s="263" t="s">
        <v>1835</v>
      </c>
      <c r="C3073" s="250" t="s">
        <v>3242</v>
      </c>
      <c r="D3073" s="250" t="s">
        <v>3402</v>
      </c>
      <c r="K3073" s="250">
        <v>1</v>
      </c>
      <c r="N3073" s="250">
        <v>30</v>
      </c>
    </row>
    <row r="3074" spans="1:14" ht="15" customHeight="1" x14ac:dyDescent="0.2">
      <c r="A3074" s="250"/>
      <c r="B3074" s="263" t="s">
        <v>1836</v>
      </c>
      <c r="C3074" s="250" t="s">
        <v>3242</v>
      </c>
      <c r="D3074" s="250" t="s">
        <v>3402</v>
      </c>
      <c r="K3074" s="250">
        <v>1</v>
      </c>
      <c r="N3074" s="250">
        <v>30</v>
      </c>
    </row>
    <row r="3075" spans="1:14" ht="15" customHeight="1" x14ac:dyDescent="0.2">
      <c r="A3075" s="252" t="s">
        <v>1837</v>
      </c>
      <c r="B3075" s="263" t="s">
        <v>4343</v>
      </c>
      <c r="C3075" s="250" t="s">
        <v>3242</v>
      </c>
      <c r="D3075" s="250" t="s">
        <v>4339</v>
      </c>
      <c r="K3075" s="250">
        <v>1</v>
      </c>
      <c r="N3075" s="250">
        <v>36</v>
      </c>
    </row>
    <row r="3076" spans="1:14" ht="15" customHeight="1" x14ac:dyDescent="0.2">
      <c r="B3076" s="263" t="s">
        <v>1838</v>
      </c>
      <c r="C3076" s="250" t="s">
        <v>3242</v>
      </c>
      <c r="D3076" s="250" t="s">
        <v>3402</v>
      </c>
      <c r="K3076" s="250">
        <v>1</v>
      </c>
      <c r="N3076" s="250">
        <v>36</v>
      </c>
    </row>
    <row r="3077" spans="1:14" ht="15" customHeight="1" x14ac:dyDescent="0.2">
      <c r="A3077" s="252" t="s">
        <v>1839</v>
      </c>
      <c r="B3077" s="250" t="s">
        <v>3986</v>
      </c>
      <c r="C3077" s="250" t="s">
        <v>3242</v>
      </c>
      <c r="D3077" s="250" t="s">
        <v>3402</v>
      </c>
      <c r="K3077" s="250">
        <v>1</v>
      </c>
      <c r="N3077" s="250">
        <v>44</v>
      </c>
    </row>
    <row r="3078" spans="1:14" ht="15" customHeight="1" x14ac:dyDescent="0.2">
      <c r="A3078" s="252">
        <v>36</v>
      </c>
      <c r="B3078" s="250" t="s">
        <v>1840</v>
      </c>
      <c r="C3078" s="250" t="s">
        <v>3242</v>
      </c>
      <c r="D3078" s="250" t="s">
        <v>3402</v>
      </c>
      <c r="K3078" s="250">
        <v>1</v>
      </c>
      <c r="N3078" s="250">
        <v>44</v>
      </c>
    </row>
    <row r="3079" spans="1:14" ht="15" customHeight="1" x14ac:dyDescent="0.2">
      <c r="A3079" s="252">
        <v>54</v>
      </c>
      <c r="B3079" s="263" t="s">
        <v>1841</v>
      </c>
      <c r="C3079" s="250" t="s">
        <v>3242</v>
      </c>
      <c r="D3079" s="250" t="s">
        <v>3402</v>
      </c>
      <c r="K3079" s="250">
        <v>1</v>
      </c>
      <c r="N3079" s="250">
        <v>44</v>
      </c>
    </row>
    <row r="3080" spans="1:14" ht="15" customHeight="1" x14ac:dyDescent="0.2">
      <c r="A3080" s="250"/>
      <c r="B3080" s="263" t="s">
        <v>1842</v>
      </c>
      <c r="C3080" s="250" t="s">
        <v>3242</v>
      </c>
      <c r="D3080" s="250" t="s">
        <v>4339</v>
      </c>
      <c r="K3080" s="250">
        <v>1</v>
      </c>
      <c r="N3080" s="250">
        <v>44</v>
      </c>
    </row>
    <row r="3081" spans="1:14" ht="15" customHeight="1" x14ac:dyDescent="0.2">
      <c r="A3081" s="252" t="s">
        <v>1843</v>
      </c>
      <c r="B3081" s="250" t="s">
        <v>1844</v>
      </c>
      <c r="C3081" s="250" t="s">
        <v>3242</v>
      </c>
      <c r="D3081" s="250" t="s">
        <v>4339</v>
      </c>
      <c r="K3081" s="250">
        <v>1</v>
      </c>
      <c r="N3081" s="250">
        <v>56</v>
      </c>
    </row>
    <row r="3082" spans="1:14" ht="15" customHeight="1" x14ac:dyDescent="0.2">
      <c r="A3082" s="252">
        <v>36</v>
      </c>
      <c r="B3082" s="250" t="s">
        <v>1845</v>
      </c>
      <c r="C3082" s="250" t="s">
        <v>3242</v>
      </c>
      <c r="D3082" s="250" t="s">
        <v>3402</v>
      </c>
      <c r="K3082" s="250">
        <v>1</v>
      </c>
      <c r="N3082" s="250">
        <v>56</v>
      </c>
    </row>
    <row r="3083" spans="1:14" ht="15" customHeight="1" x14ac:dyDescent="0.2">
      <c r="A3083" s="252">
        <v>54</v>
      </c>
      <c r="B3083" s="263" t="s">
        <v>1846</v>
      </c>
      <c r="C3083" s="250" t="s">
        <v>3242</v>
      </c>
      <c r="D3083" s="250" t="s">
        <v>3402</v>
      </c>
      <c r="K3083" s="250">
        <v>1</v>
      </c>
      <c r="N3083" s="250">
        <v>56</v>
      </c>
    </row>
    <row r="3084" spans="1:14" ht="15" customHeight="1" x14ac:dyDescent="0.2">
      <c r="A3084" s="250"/>
      <c r="B3084" s="263" t="s">
        <v>1847</v>
      </c>
      <c r="C3084" s="250" t="s">
        <v>3242</v>
      </c>
      <c r="D3084" s="250" t="s">
        <v>3402</v>
      </c>
      <c r="K3084" s="250">
        <v>1</v>
      </c>
      <c r="N3084" s="250">
        <v>56</v>
      </c>
    </row>
    <row r="3085" spans="1:14" ht="15" customHeight="1" x14ac:dyDescent="0.2">
      <c r="A3085" s="252" t="s">
        <v>1848</v>
      </c>
      <c r="B3085" s="250" t="s">
        <v>3987</v>
      </c>
      <c r="C3085" s="250" t="s">
        <v>3242</v>
      </c>
      <c r="D3085" s="250" t="s">
        <v>3402</v>
      </c>
      <c r="K3085" s="250">
        <v>1</v>
      </c>
      <c r="N3085" s="250">
        <v>74</v>
      </c>
    </row>
    <row r="3086" spans="1:14" ht="15" customHeight="1" x14ac:dyDescent="0.2">
      <c r="B3086" s="250" t="s">
        <v>1849</v>
      </c>
      <c r="C3086" s="250" t="s">
        <v>3242</v>
      </c>
      <c r="D3086" s="250" t="s">
        <v>3402</v>
      </c>
      <c r="K3086" s="250">
        <v>1</v>
      </c>
      <c r="N3086" s="250">
        <v>74</v>
      </c>
    </row>
    <row r="3087" spans="1:14" ht="15" customHeight="1" x14ac:dyDescent="0.2">
      <c r="A3087" s="261" t="s">
        <v>1818</v>
      </c>
      <c r="B3087" s="262" t="s">
        <v>1819</v>
      </c>
      <c r="C3087" s="250" t="s">
        <v>3242</v>
      </c>
      <c r="D3087" s="250" t="s">
        <v>4339</v>
      </c>
      <c r="K3087" s="250">
        <v>1</v>
      </c>
      <c r="N3087" s="250">
        <v>4</v>
      </c>
    </row>
    <row r="3088" spans="1:14" ht="15" customHeight="1" x14ac:dyDescent="0.2">
      <c r="A3088" s="257" t="s">
        <v>1820</v>
      </c>
      <c r="B3088" s="258" t="s">
        <v>1819</v>
      </c>
      <c r="C3088" s="250" t="s">
        <v>3242</v>
      </c>
      <c r="D3088" s="250" t="s">
        <v>4339</v>
      </c>
      <c r="K3088" s="250">
        <v>1</v>
      </c>
      <c r="N3088" s="250">
        <v>4</v>
      </c>
    </row>
    <row r="3089" spans="1:14" ht="15" customHeight="1" x14ac:dyDescent="0.2">
      <c r="A3089" s="252" t="s">
        <v>1850</v>
      </c>
      <c r="B3089" s="263" t="s">
        <v>4344</v>
      </c>
      <c r="C3089" s="250" t="s">
        <v>3242</v>
      </c>
      <c r="D3089" s="250" t="s">
        <v>4339</v>
      </c>
      <c r="K3089" s="250">
        <v>1</v>
      </c>
      <c r="N3089" s="250">
        <v>10</v>
      </c>
    </row>
    <row r="3090" spans="1:14" ht="15" customHeight="1" x14ac:dyDescent="0.2">
      <c r="A3090" s="252" t="s">
        <v>3988</v>
      </c>
      <c r="B3090" s="263" t="s">
        <v>3989</v>
      </c>
      <c r="C3090" s="250" t="s">
        <v>3242</v>
      </c>
      <c r="D3090" s="250" t="s">
        <v>3402</v>
      </c>
      <c r="K3090" s="250">
        <v>1</v>
      </c>
      <c r="N3090" s="250">
        <v>17</v>
      </c>
    </row>
    <row r="3091" spans="1:14" ht="15" customHeight="1" x14ac:dyDescent="0.2">
      <c r="A3091" s="252" t="s">
        <v>1851</v>
      </c>
      <c r="B3091" s="263" t="s">
        <v>4345</v>
      </c>
      <c r="C3091" s="250" t="s">
        <v>3242</v>
      </c>
      <c r="D3091" s="250" t="s">
        <v>3402</v>
      </c>
      <c r="K3091" s="250">
        <v>1</v>
      </c>
      <c r="N3091" s="250">
        <v>26</v>
      </c>
    </row>
    <row r="3092" spans="1:14" ht="15" customHeight="1" x14ac:dyDescent="0.2">
      <c r="B3092" s="263" t="s">
        <v>1834</v>
      </c>
      <c r="C3092" s="250" t="s">
        <v>3242</v>
      </c>
      <c r="D3092" s="250" t="s">
        <v>4339</v>
      </c>
      <c r="K3092" s="250">
        <v>1</v>
      </c>
      <c r="N3092" s="250">
        <v>26</v>
      </c>
    </row>
    <row r="3093" spans="1:14" ht="15" customHeight="1" x14ac:dyDescent="0.2">
      <c r="A3093" s="252" t="s">
        <v>1852</v>
      </c>
      <c r="B3093" s="263" t="s">
        <v>4346</v>
      </c>
      <c r="C3093" s="250" t="s">
        <v>3242</v>
      </c>
      <c r="D3093" s="250" t="s">
        <v>4339</v>
      </c>
      <c r="K3093" s="250">
        <v>1</v>
      </c>
      <c r="N3093" s="250">
        <v>45</v>
      </c>
    </row>
    <row r="3094" spans="1:14" ht="15" customHeight="1" x14ac:dyDescent="0.2">
      <c r="B3094" s="263" t="s">
        <v>1853</v>
      </c>
      <c r="C3094" s="250" t="s">
        <v>3242</v>
      </c>
      <c r="D3094" s="250" t="s">
        <v>4339</v>
      </c>
      <c r="K3094" s="250">
        <v>1</v>
      </c>
      <c r="N3094" s="250">
        <v>45</v>
      </c>
    </row>
    <row r="3095" spans="1:14" ht="15" customHeight="1" x14ac:dyDescent="0.2">
      <c r="A3095" s="252" t="s">
        <v>1854</v>
      </c>
      <c r="B3095" s="263" t="s">
        <v>4347</v>
      </c>
      <c r="C3095" s="250" t="s">
        <v>3242</v>
      </c>
      <c r="D3095" s="250" t="s">
        <v>4339</v>
      </c>
      <c r="K3095" s="250">
        <v>1</v>
      </c>
      <c r="N3095" s="250">
        <v>62</v>
      </c>
    </row>
    <row r="3096" spans="1:14" ht="15" customHeight="1" x14ac:dyDescent="0.2">
      <c r="B3096" s="263" t="s">
        <v>1855</v>
      </c>
      <c r="C3096" s="250" t="s">
        <v>3242</v>
      </c>
      <c r="D3096" s="250" t="s">
        <v>3402</v>
      </c>
      <c r="K3096" s="250">
        <v>1</v>
      </c>
      <c r="N3096" s="250">
        <v>62</v>
      </c>
    </row>
    <row r="3097" spans="1:14" ht="15" customHeight="1" x14ac:dyDescent="0.2">
      <c r="A3097" s="252" t="s">
        <v>1856</v>
      </c>
      <c r="B3097" s="263" t="s">
        <v>1857</v>
      </c>
      <c r="C3097" s="250" t="s">
        <v>3242</v>
      </c>
      <c r="D3097" s="250" t="s">
        <v>3402</v>
      </c>
      <c r="K3097" s="250">
        <v>1</v>
      </c>
    </row>
    <row r="3098" spans="1:14" ht="15" customHeight="1" x14ac:dyDescent="0.2">
      <c r="A3098" s="252" t="s">
        <v>1858</v>
      </c>
      <c r="B3098" s="263" t="s">
        <v>1836</v>
      </c>
      <c r="C3098" s="250" t="s">
        <v>3242</v>
      </c>
      <c r="D3098" s="250" t="s">
        <v>4339</v>
      </c>
      <c r="K3098" s="250">
        <v>1</v>
      </c>
    </row>
    <row r="3099" spans="1:14" ht="15" customHeight="1" x14ac:dyDescent="0.2">
      <c r="A3099" s="264"/>
      <c r="B3099" s="265" t="s">
        <v>4348</v>
      </c>
      <c r="C3099" s="250" t="s">
        <v>3242</v>
      </c>
      <c r="D3099" s="266" t="s">
        <v>4349</v>
      </c>
      <c r="E3099" s="252"/>
      <c r="F3099" s="252"/>
      <c r="G3099" s="252"/>
      <c r="H3099" s="252"/>
      <c r="I3099" s="252"/>
      <c r="J3099" s="252"/>
      <c r="K3099" s="250">
        <v>1</v>
      </c>
      <c r="L3099" s="267">
        <v>150</v>
      </c>
      <c r="N3099" s="250">
        <f>L3099*1.1</f>
        <v>165</v>
      </c>
    </row>
    <row r="3100" spans="1:14" ht="15" customHeight="1" x14ac:dyDescent="0.2">
      <c r="B3100" s="268" t="s">
        <v>4350</v>
      </c>
      <c r="C3100" s="250" t="s">
        <v>3242</v>
      </c>
      <c r="D3100" s="266" t="s">
        <v>4351</v>
      </c>
      <c r="K3100" s="250">
        <v>1</v>
      </c>
      <c r="L3100" s="269">
        <v>165</v>
      </c>
      <c r="N3100" s="250">
        <f>L3100*1.1</f>
        <v>181.50000000000003</v>
      </c>
    </row>
    <row r="3101" spans="1:14" ht="15" customHeight="1" x14ac:dyDescent="0.2">
      <c r="B3101" s="250" t="s">
        <v>4352</v>
      </c>
      <c r="C3101" s="250" t="s">
        <v>3242</v>
      </c>
      <c r="D3101" s="266" t="s">
        <v>4353</v>
      </c>
      <c r="K3101" s="250">
        <v>1</v>
      </c>
      <c r="L3101" s="270">
        <v>175</v>
      </c>
      <c r="N3101" s="250">
        <f>L3101*1.1</f>
        <v>192.50000000000003</v>
      </c>
    </row>
    <row r="3102" spans="1:14" ht="15" customHeight="1" x14ac:dyDescent="0.2">
      <c r="B3102" s="250" t="s">
        <v>4354</v>
      </c>
      <c r="C3102" s="250" t="s">
        <v>3242</v>
      </c>
      <c r="D3102" s="266" t="s">
        <v>4355</v>
      </c>
      <c r="K3102" s="250">
        <v>1</v>
      </c>
      <c r="L3102" s="271">
        <v>195</v>
      </c>
      <c r="N3102" s="250">
        <f>L3102*1.1</f>
        <v>214.50000000000003</v>
      </c>
    </row>
    <row r="3103" spans="1:14" ht="15" customHeight="1" x14ac:dyDescent="0.2">
      <c r="B3103" s="268" t="s">
        <v>2384</v>
      </c>
      <c r="C3103" s="250" t="s">
        <v>3242</v>
      </c>
      <c r="D3103" s="266" t="s">
        <v>4356</v>
      </c>
      <c r="K3103" s="250">
        <v>1</v>
      </c>
      <c r="N3103" s="250">
        <f>L3103*1.15</f>
        <v>0</v>
      </c>
    </row>
    <row r="3104" spans="1:14" ht="15" customHeight="1" x14ac:dyDescent="0.2">
      <c r="B3104" s="250" t="s">
        <v>2385</v>
      </c>
      <c r="C3104" s="250" t="s">
        <v>3242</v>
      </c>
      <c r="D3104" s="266" t="s">
        <v>3990</v>
      </c>
      <c r="K3104" s="250">
        <v>1</v>
      </c>
      <c r="L3104" s="269">
        <v>340</v>
      </c>
      <c r="N3104" s="250">
        <f t="shared" ref="N3104:N3110" si="9">L3104*1.2</f>
        <v>408</v>
      </c>
    </row>
    <row r="3105" spans="1:14" ht="15" customHeight="1" x14ac:dyDescent="0.2">
      <c r="B3105" s="250" t="s">
        <v>2386</v>
      </c>
      <c r="C3105" s="250" t="s">
        <v>3242</v>
      </c>
      <c r="D3105" s="266" t="s">
        <v>3991</v>
      </c>
      <c r="K3105" s="250">
        <v>1</v>
      </c>
      <c r="L3105" s="272">
        <v>375</v>
      </c>
      <c r="N3105" s="250">
        <f t="shared" si="9"/>
        <v>450</v>
      </c>
    </row>
    <row r="3106" spans="1:14" ht="15" customHeight="1" x14ac:dyDescent="0.2">
      <c r="B3106" s="250" t="s">
        <v>2387</v>
      </c>
      <c r="C3106" s="250" t="s">
        <v>3242</v>
      </c>
      <c r="D3106" s="266" t="s">
        <v>3992</v>
      </c>
      <c r="K3106" s="250">
        <v>1</v>
      </c>
      <c r="L3106" s="271">
        <v>420</v>
      </c>
      <c r="N3106" s="250">
        <f t="shared" si="9"/>
        <v>504</v>
      </c>
    </row>
    <row r="3107" spans="1:14" ht="15" customHeight="1" x14ac:dyDescent="0.2">
      <c r="B3107" s="250" t="s">
        <v>2388</v>
      </c>
      <c r="C3107" s="250" t="s">
        <v>3242</v>
      </c>
      <c r="D3107" s="266" t="s">
        <v>3993</v>
      </c>
      <c r="K3107" s="250">
        <v>1</v>
      </c>
      <c r="L3107" s="250">
        <v>0</v>
      </c>
      <c r="N3107" s="250">
        <f t="shared" si="9"/>
        <v>0</v>
      </c>
    </row>
    <row r="3108" spans="1:14" ht="15" customHeight="1" x14ac:dyDescent="0.2">
      <c r="B3108" s="250" t="s">
        <v>2389</v>
      </c>
      <c r="C3108" s="250" t="s">
        <v>3242</v>
      </c>
      <c r="D3108" s="266" t="s">
        <v>3994</v>
      </c>
      <c r="K3108" s="250">
        <v>1</v>
      </c>
      <c r="L3108" s="269">
        <v>385</v>
      </c>
      <c r="N3108" s="250">
        <f t="shared" si="9"/>
        <v>462</v>
      </c>
    </row>
    <row r="3109" spans="1:14" ht="15" customHeight="1" x14ac:dyDescent="0.2">
      <c r="B3109" s="250" t="s">
        <v>2390</v>
      </c>
      <c r="C3109" s="250" t="s">
        <v>3242</v>
      </c>
      <c r="D3109" s="266" t="s">
        <v>4357</v>
      </c>
      <c r="K3109" s="250">
        <v>1</v>
      </c>
      <c r="L3109" s="273">
        <v>435</v>
      </c>
      <c r="N3109" s="250">
        <f t="shared" si="9"/>
        <v>522</v>
      </c>
    </row>
    <row r="3110" spans="1:14" ht="15" customHeight="1" x14ac:dyDescent="0.2">
      <c r="B3110" s="250" t="s">
        <v>2391</v>
      </c>
      <c r="C3110" s="250" t="s">
        <v>3242</v>
      </c>
      <c r="D3110" s="266" t="s">
        <v>3995</v>
      </c>
      <c r="K3110" s="250">
        <v>1</v>
      </c>
      <c r="L3110" s="271">
        <v>480</v>
      </c>
      <c r="N3110" s="250">
        <f t="shared" si="9"/>
        <v>576</v>
      </c>
    </row>
    <row r="3111" spans="1:14" ht="15" customHeight="1" x14ac:dyDescent="0.2">
      <c r="B3111" s="250" t="s">
        <v>3900</v>
      </c>
    </row>
    <row r="3112" spans="1:14" ht="15" customHeight="1" x14ac:dyDescent="0.2">
      <c r="B3112" s="250" t="s">
        <v>2176</v>
      </c>
      <c r="C3112" s="250" t="s">
        <v>3996</v>
      </c>
      <c r="D3112" s="274" t="s">
        <v>2177</v>
      </c>
      <c r="K3112" s="250">
        <v>1</v>
      </c>
      <c r="L3112" s="250">
        <v>10500</v>
      </c>
    </row>
    <row r="3113" spans="1:14" ht="15" customHeight="1" x14ac:dyDescent="0.2">
      <c r="B3113" s="250" t="s">
        <v>2178</v>
      </c>
      <c r="C3113" s="250" t="s">
        <v>3996</v>
      </c>
      <c r="D3113" s="274" t="s">
        <v>2177</v>
      </c>
      <c r="K3113" s="250">
        <v>1</v>
      </c>
      <c r="L3113" s="250">
        <v>14000</v>
      </c>
      <c r="N3113" s="250">
        <v>14000</v>
      </c>
    </row>
    <row r="3114" spans="1:14" ht="15" customHeight="1" x14ac:dyDescent="0.2">
      <c r="B3114" s="250" t="s">
        <v>3997</v>
      </c>
      <c r="C3114" s="250" t="s">
        <v>3996</v>
      </c>
      <c r="D3114" s="274" t="s">
        <v>2177</v>
      </c>
      <c r="K3114" s="250">
        <v>1</v>
      </c>
      <c r="L3114" s="250">
        <v>17500</v>
      </c>
    </row>
    <row r="3115" spans="1:14" ht="15" customHeight="1" x14ac:dyDescent="0.2">
      <c r="B3115" s="250" t="s">
        <v>2179</v>
      </c>
      <c r="C3115" s="250" t="s">
        <v>3996</v>
      </c>
      <c r="D3115" s="274" t="s">
        <v>2177</v>
      </c>
      <c r="K3115" s="250">
        <v>1</v>
      </c>
      <c r="L3115" s="250">
        <v>19000</v>
      </c>
    </row>
    <row r="3116" spans="1:14" ht="15" customHeight="1" x14ac:dyDescent="0.2">
      <c r="B3116" s="250" t="s">
        <v>2180</v>
      </c>
      <c r="C3116" s="250" t="s">
        <v>3996</v>
      </c>
      <c r="D3116" s="250" t="s">
        <v>2177</v>
      </c>
      <c r="K3116" s="250">
        <v>1</v>
      </c>
      <c r="L3116" s="250">
        <v>28000</v>
      </c>
    </row>
    <row r="3117" spans="1:14" ht="15" customHeight="1" x14ac:dyDescent="0.2">
      <c r="B3117" s="250" t="s">
        <v>2181</v>
      </c>
      <c r="C3117" s="250" t="s">
        <v>3996</v>
      </c>
      <c r="D3117" s="250" t="s">
        <v>2177</v>
      </c>
      <c r="K3117" s="250">
        <v>1</v>
      </c>
      <c r="L3117" s="250">
        <v>59600</v>
      </c>
    </row>
    <row r="3118" spans="1:14" ht="15" customHeight="1" x14ac:dyDescent="0.2">
      <c r="B3118" s="250" t="s">
        <v>3900</v>
      </c>
    </row>
    <row r="3119" spans="1:14" ht="15" customHeight="1" x14ac:dyDescent="0.2">
      <c r="B3119" s="250" t="s">
        <v>2247</v>
      </c>
      <c r="C3119" s="250" t="s">
        <v>1921</v>
      </c>
      <c r="D3119" s="252" t="s">
        <v>1919</v>
      </c>
      <c r="K3119" s="250">
        <v>0.6</v>
      </c>
      <c r="L3119" s="250">
        <v>1200</v>
      </c>
    </row>
    <row r="3120" spans="1:14" ht="15" customHeight="1" x14ac:dyDescent="0.2">
      <c r="A3120" s="250"/>
      <c r="B3120" s="250" t="s">
        <v>2248</v>
      </c>
      <c r="C3120" s="250" t="s">
        <v>1921</v>
      </c>
      <c r="D3120" s="252" t="s">
        <v>1919</v>
      </c>
      <c r="K3120" s="250">
        <v>0.6</v>
      </c>
      <c r="L3120" s="250">
        <v>1400</v>
      </c>
    </row>
    <row r="3121" spans="1:12" ht="15" customHeight="1" x14ac:dyDescent="0.2">
      <c r="A3121" s="250"/>
      <c r="B3121" s="250" t="s">
        <v>2249</v>
      </c>
      <c r="C3121" s="250" t="s">
        <v>1921</v>
      </c>
      <c r="D3121" s="252" t="s">
        <v>1919</v>
      </c>
      <c r="K3121" s="250">
        <v>0.6</v>
      </c>
      <c r="L3121" s="250">
        <v>1800</v>
      </c>
    </row>
    <row r="3122" spans="1:12" ht="15" customHeight="1" x14ac:dyDescent="0.2">
      <c r="A3122" s="250"/>
      <c r="B3122" s="250" t="s">
        <v>2250</v>
      </c>
      <c r="C3122" s="250" t="s">
        <v>1921</v>
      </c>
      <c r="D3122" s="252" t="s">
        <v>1919</v>
      </c>
      <c r="K3122" s="250">
        <v>0.6</v>
      </c>
      <c r="L3122" s="250">
        <v>1600</v>
      </c>
    </row>
    <row r="3123" spans="1:12" ht="15" customHeight="1" x14ac:dyDescent="0.2">
      <c r="A3123" s="250"/>
      <c r="B3123" s="250" t="s">
        <v>2251</v>
      </c>
      <c r="C3123" s="250" t="s">
        <v>1921</v>
      </c>
      <c r="D3123" s="252" t="s">
        <v>1919</v>
      </c>
      <c r="K3123" s="250">
        <v>0.6</v>
      </c>
      <c r="L3123" s="250">
        <v>2000</v>
      </c>
    </row>
    <row r="3124" spans="1:12" ht="15" customHeight="1" x14ac:dyDescent="0.2">
      <c r="B3124" s="250" t="s">
        <v>2175</v>
      </c>
      <c r="C3124" s="250" t="s">
        <v>1921</v>
      </c>
      <c r="D3124" s="252" t="s">
        <v>1919</v>
      </c>
      <c r="K3124" s="250">
        <v>0.6</v>
      </c>
      <c r="L3124" s="250">
        <v>800</v>
      </c>
    </row>
    <row r="3125" spans="1:12" ht="15" customHeight="1" x14ac:dyDescent="0.2">
      <c r="A3125" s="250"/>
      <c r="B3125" s="250" t="s">
        <v>2226</v>
      </c>
      <c r="C3125" s="250" t="s">
        <v>1921</v>
      </c>
      <c r="D3125" s="252" t="s">
        <v>1919</v>
      </c>
      <c r="K3125" s="250">
        <v>0.6</v>
      </c>
      <c r="L3125" s="250">
        <v>1400</v>
      </c>
    </row>
    <row r="3126" spans="1:12" ht="15" customHeight="1" x14ac:dyDescent="0.2">
      <c r="A3126" s="250"/>
      <c r="B3126" s="250" t="s">
        <v>2227</v>
      </c>
      <c r="C3126" s="250" t="s">
        <v>1921</v>
      </c>
      <c r="D3126" s="252" t="s">
        <v>1919</v>
      </c>
      <c r="K3126" s="250">
        <v>0.6</v>
      </c>
      <c r="L3126" s="250">
        <v>1600</v>
      </c>
    </row>
    <row r="3127" spans="1:12" ht="15" customHeight="1" x14ac:dyDescent="0.2">
      <c r="A3127" s="250"/>
      <c r="B3127" s="250" t="s">
        <v>2228</v>
      </c>
      <c r="C3127" s="250" t="s">
        <v>1921</v>
      </c>
      <c r="D3127" s="252" t="s">
        <v>1919</v>
      </c>
      <c r="K3127" s="250">
        <v>0.6</v>
      </c>
      <c r="L3127" s="250">
        <v>1800</v>
      </c>
    </row>
    <row r="3128" spans="1:12" ht="15" customHeight="1" x14ac:dyDescent="0.2">
      <c r="A3128" s="250"/>
      <c r="B3128" s="250" t="s">
        <v>2174</v>
      </c>
      <c r="C3128" s="250" t="s">
        <v>1921</v>
      </c>
      <c r="D3128" s="252" t="s">
        <v>1919</v>
      </c>
      <c r="K3128" s="250">
        <v>0.6</v>
      </c>
      <c r="L3128" s="250">
        <v>3000</v>
      </c>
    </row>
    <row r="3129" spans="1:12" ht="15" customHeight="1" x14ac:dyDescent="0.2">
      <c r="A3129" s="250"/>
      <c r="B3129" s="250" t="s">
        <v>2229</v>
      </c>
      <c r="C3129" s="250" t="s">
        <v>1921</v>
      </c>
      <c r="D3129" s="252" t="s">
        <v>1919</v>
      </c>
      <c r="K3129" s="250">
        <v>0.6</v>
      </c>
      <c r="L3129" s="250">
        <v>1800</v>
      </c>
    </row>
    <row r="3130" spans="1:12" ht="15" customHeight="1" x14ac:dyDescent="0.2">
      <c r="A3130" s="250"/>
      <c r="B3130" s="250" t="s">
        <v>1920</v>
      </c>
      <c r="C3130" s="250" t="s">
        <v>1921</v>
      </c>
      <c r="D3130" s="252" t="s">
        <v>1919</v>
      </c>
      <c r="K3130" s="250">
        <v>0.6</v>
      </c>
      <c r="L3130" s="250">
        <v>2000</v>
      </c>
    </row>
    <row r="3131" spans="1:12" ht="15" customHeight="1" x14ac:dyDescent="0.2">
      <c r="A3131" s="250"/>
      <c r="B3131" s="250" t="s">
        <v>2230</v>
      </c>
      <c r="C3131" s="250" t="s">
        <v>1921</v>
      </c>
      <c r="D3131" s="252" t="s">
        <v>1919</v>
      </c>
      <c r="K3131" s="250">
        <v>0.6</v>
      </c>
      <c r="L3131" s="250">
        <v>3200</v>
      </c>
    </row>
    <row r="3132" spans="1:12" ht="15" customHeight="1" x14ac:dyDescent="0.2">
      <c r="A3132" s="250"/>
      <c r="B3132" s="250" t="s">
        <v>4358</v>
      </c>
      <c r="C3132" s="250" t="s">
        <v>1921</v>
      </c>
      <c r="D3132" s="252" t="s">
        <v>3970</v>
      </c>
      <c r="K3132" s="250">
        <v>0.6</v>
      </c>
      <c r="L3132" s="250">
        <v>600</v>
      </c>
    </row>
    <row r="3133" spans="1:12" ht="15" customHeight="1" x14ac:dyDescent="0.2">
      <c r="B3133" s="250" t="s">
        <v>3998</v>
      </c>
      <c r="C3133" s="250" t="s">
        <v>1921</v>
      </c>
      <c r="D3133" s="252" t="s">
        <v>3999</v>
      </c>
      <c r="K3133" s="250">
        <v>0.6</v>
      </c>
      <c r="L3133" s="250">
        <v>700</v>
      </c>
    </row>
    <row r="3134" spans="1:12" ht="15" customHeight="1" x14ac:dyDescent="0.2">
      <c r="A3134" s="250"/>
      <c r="B3134" s="250" t="s">
        <v>4000</v>
      </c>
      <c r="C3134" s="250" t="s">
        <v>1921</v>
      </c>
      <c r="D3134" s="252" t="s">
        <v>3970</v>
      </c>
      <c r="K3134" s="250">
        <v>0.6</v>
      </c>
      <c r="L3134" s="250">
        <v>600</v>
      </c>
    </row>
    <row r="3135" spans="1:12" ht="15" customHeight="1" x14ac:dyDescent="0.2">
      <c r="B3135" s="250" t="s">
        <v>4001</v>
      </c>
      <c r="C3135" s="250" t="s">
        <v>1921</v>
      </c>
      <c r="D3135" s="252" t="s">
        <v>3999</v>
      </c>
      <c r="K3135" s="250">
        <v>0.6</v>
      </c>
      <c r="L3135" s="250">
        <v>760</v>
      </c>
    </row>
    <row r="3136" spans="1:12" ht="15" customHeight="1" x14ac:dyDescent="0.2">
      <c r="A3136" s="250"/>
      <c r="B3136" s="250" t="s">
        <v>4002</v>
      </c>
      <c r="C3136" s="250" t="s">
        <v>1921</v>
      </c>
      <c r="D3136" s="252" t="s">
        <v>3970</v>
      </c>
      <c r="K3136" s="250">
        <v>0.6</v>
      </c>
      <c r="L3136" s="250">
        <v>860</v>
      </c>
    </row>
    <row r="3137" spans="1:12" ht="15" customHeight="1" x14ac:dyDescent="0.2">
      <c r="B3137" s="250" t="s">
        <v>4003</v>
      </c>
      <c r="C3137" s="250" t="s">
        <v>1921</v>
      </c>
      <c r="D3137" s="252" t="s">
        <v>3999</v>
      </c>
      <c r="K3137" s="250">
        <v>0.6</v>
      </c>
      <c r="L3137" s="250">
        <v>900</v>
      </c>
    </row>
    <row r="3138" spans="1:12" ht="15" customHeight="1" x14ac:dyDescent="0.2">
      <c r="A3138" s="250"/>
      <c r="B3138" s="250" t="s">
        <v>4359</v>
      </c>
      <c r="C3138" s="250" t="s">
        <v>1921</v>
      </c>
      <c r="D3138" s="252" t="s">
        <v>3970</v>
      </c>
      <c r="K3138" s="250">
        <v>0.6</v>
      </c>
      <c r="L3138" s="250">
        <v>600</v>
      </c>
    </row>
    <row r="3139" spans="1:12" ht="15" customHeight="1" x14ac:dyDescent="0.2">
      <c r="B3139" s="250" t="s">
        <v>4004</v>
      </c>
      <c r="C3139" s="250" t="s">
        <v>1921</v>
      </c>
      <c r="D3139" s="252" t="s">
        <v>3999</v>
      </c>
      <c r="K3139" s="250">
        <v>0.6</v>
      </c>
      <c r="L3139" s="250">
        <v>1600</v>
      </c>
    </row>
    <row r="3140" spans="1:12" ht="15" customHeight="1" x14ac:dyDescent="0.2">
      <c r="B3140" s="250" t="s">
        <v>2252</v>
      </c>
      <c r="C3140" s="250" t="s">
        <v>1918</v>
      </c>
      <c r="D3140" s="252" t="s">
        <v>1777</v>
      </c>
      <c r="K3140" s="250">
        <v>0.45</v>
      </c>
      <c r="L3140" s="250">
        <v>120.91</v>
      </c>
    </row>
    <row r="3141" spans="1:12" ht="15" customHeight="1" x14ac:dyDescent="0.2">
      <c r="B3141" s="250" t="s">
        <v>2253</v>
      </c>
      <c r="C3141" s="250" t="s">
        <v>1918</v>
      </c>
      <c r="D3141" s="252" t="s">
        <v>1777</v>
      </c>
      <c r="K3141" s="250">
        <v>0.45</v>
      </c>
      <c r="L3141" s="250">
        <v>131.19</v>
      </c>
    </row>
    <row r="3142" spans="1:12" ht="15" customHeight="1" x14ac:dyDescent="0.2">
      <c r="B3142" s="250" t="s">
        <v>2254</v>
      </c>
      <c r="C3142" s="250" t="s">
        <v>1918</v>
      </c>
      <c r="D3142" s="252" t="s">
        <v>1777</v>
      </c>
      <c r="K3142" s="250">
        <v>0.45</v>
      </c>
      <c r="L3142" s="250">
        <v>165.92</v>
      </c>
    </row>
    <row r="3143" spans="1:12" ht="15" customHeight="1" x14ac:dyDescent="0.2">
      <c r="B3143" s="250" t="s">
        <v>2255</v>
      </c>
      <c r="C3143" s="250" t="s">
        <v>1918</v>
      </c>
      <c r="D3143" s="252" t="s">
        <v>1777</v>
      </c>
      <c r="K3143" s="250">
        <v>0.45</v>
      </c>
      <c r="L3143" s="250">
        <v>195.49</v>
      </c>
    </row>
    <row r="3144" spans="1:12" ht="15" customHeight="1" x14ac:dyDescent="0.2">
      <c r="B3144" s="250" t="s">
        <v>2256</v>
      </c>
      <c r="C3144" s="250" t="s">
        <v>1918</v>
      </c>
      <c r="D3144" s="252" t="s">
        <v>1777</v>
      </c>
      <c r="K3144" s="250">
        <v>0.45</v>
      </c>
      <c r="L3144" s="250">
        <v>264.95</v>
      </c>
    </row>
    <row r="3145" spans="1:12" ht="15" customHeight="1" x14ac:dyDescent="0.2">
      <c r="B3145" s="250" t="s">
        <v>2257</v>
      </c>
      <c r="C3145" s="250" t="s">
        <v>1918</v>
      </c>
      <c r="D3145" s="252" t="s">
        <v>1777</v>
      </c>
      <c r="K3145" s="250">
        <v>0.45</v>
      </c>
      <c r="L3145" s="250">
        <v>298.42</v>
      </c>
    </row>
    <row r="3146" spans="1:12" ht="15" customHeight="1" x14ac:dyDescent="0.2">
      <c r="B3146" s="250" t="s">
        <v>2258</v>
      </c>
      <c r="C3146" s="250" t="s">
        <v>1918</v>
      </c>
      <c r="D3146" s="252" t="s">
        <v>1777</v>
      </c>
      <c r="K3146" s="250">
        <v>0.45</v>
      </c>
      <c r="L3146" s="250">
        <v>396.42</v>
      </c>
    </row>
    <row r="3147" spans="1:12" ht="15" customHeight="1" x14ac:dyDescent="0.2">
      <c r="B3147" s="250" t="s">
        <v>2259</v>
      </c>
      <c r="C3147" s="250" t="s">
        <v>1918</v>
      </c>
      <c r="D3147" s="252" t="s">
        <v>1777</v>
      </c>
      <c r="K3147" s="250">
        <v>0.45</v>
      </c>
      <c r="L3147" s="250">
        <v>544.34</v>
      </c>
    </row>
    <row r="3148" spans="1:12" ht="15" customHeight="1" x14ac:dyDescent="0.2">
      <c r="B3148" s="250" t="s">
        <v>2260</v>
      </c>
      <c r="C3148" s="250" t="s">
        <v>1918</v>
      </c>
      <c r="D3148" s="252" t="s">
        <v>1777</v>
      </c>
      <c r="K3148" s="250">
        <v>0.45</v>
      </c>
      <c r="L3148" s="250">
        <v>690.79</v>
      </c>
    </row>
    <row r="3149" spans="1:12" ht="15" customHeight="1" x14ac:dyDescent="0.2">
      <c r="B3149" s="250" t="s">
        <v>2261</v>
      </c>
      <c r="C3149" s="250" t="s">
        <v>1918</v>
      </c>
      <c r="D3149" s="252" t="s">
        <v>1777</v>
      </c>
      <c r="K3149" s="250">
        <v>0.45</v>
      </c>
      <c r="L3149" s="250">
        <v>749.88</v>
      </c>
    </row>
    <row r="3150" spans="1:12" ht="15" customHeight="1" x14ac:dyDescent="0.2">
      <c r="B3150" s="250" t="s">
        <v>2262</v>
      </c>
      <c r="C3150" s="250" t="s">
        <v>1918</v>
      </c>
      <c r="D3150" s="252" t="s">
        <v>1777</v>
      </c>
      <c r="K3150" s="250">
        <v>0.45</v>
      </c>
      <c r="L3150" s="250">
        <v>965.97</v>
      </c>
    </row>
    <row r="3151" spans="1:12" ht="15" customHeight="1" x14ac:dyDescent="0.2">
      <c r="B3151" s="250" t="s">
        <v>2263</v>
      </c>
      <c r="C3151" s="250" t="s">
        <v>1918</v>
      </c>
      <c r="D3151" s="252" t="s">
        <v>1777</v>
      </c>
      <c r="K3151" s="250">
        <v>0.45</v>
      </c>
      <c r="L3151" s="250">
        <v>1467.27</v>
      </c>
    </row>
    <row r="3152" spans="1:12" ht="15" customHeight="1" x14ac:dyDescent="0.2">
      <c r="B3152" s="250" t="s">
        <v>2264</v>
      </c>
      <c r="C3152" s="250" t="s">
        <v>1918</v>
      </c>
      <c r="D3152" s="252" t="s">
        <v>1777</v>
      </c>
      <c r="K3152" s="250">
        <v>0.45</v>
      </c>
      <c r="L3152" s="250">
        <v>1535.44</v>
      </c>
    </row>
    <row r="3153" spans="2:12" ht="15" customHeight="1" x14ac:dyDescent="0.2">
      <c r="B3153" s="250" t="s">
        <v>2265</v>
      </c>
      <c r="C3153" s="250" t="s">
        <v>1918</v>
      </c>
      <c r="D3153" s="252" t="s">
        <v>1777</v>
      </c>
      <c r="K3153" s="250">
        <v>0.45</v>
      </c>
      <c r="L3153" s="250">
        <v>1675.77</v>
      </c>
    </row>
    <row r="3154" spans="2:12" ht="15" customHeight="1" x14ac:dyDescent="0.2">
      <c r="B3154" s="250" t="s">
        <v>2266</v>
      </c>
      <c r="C3154" s="250" t="s">
        <v>1918</v>
      </c>
      <c r="D3154" s="252" t="s">
        <v>1777</v>
      </c>
      <c r="K3154" s="250">
        <v>0.45</v>
      </c>
      <c r="L3154" s="250">
        <v>2677.25</v>
      </c>
    </row>
    <row r="3155" spans="2:12" ht="15" customHeight="1" x14ac:dyDescent="0.2">
      <c r="B3155" s="250" t="s">
        <v>2267</v>
      </c>
      <c r="C3155" s="250" t="s">
        <v>1918</v>
      </c>
      <c r="D3155" s="252" t="s">
        <v>1777</v>
      </c>
      <c r="K3155" s="250">
        <v>0.45</v>
      </c>
      <c r="L3155" s="250">
        <v>4241.8599999999997</v>
      </c>
    </row>
    <row r="3156" spans="2:12" ht="15" customHeight="1" x14ac:dyDescent="0.2">
      <c r="B3156" s="250" t="s">
        <v>2268</v>
      </c>
      <c r="C3156" s="250" t="s">
        <v>1918</v>
      </c>
      <c r="D3156" s="252" t="s">
        <v>1777</v>
      </c>
      <c r="K3156" s="250">
        <v>0.45</v>
      </c>
      <c r="L3156" s="250">
        <v>4873.75</v>
      </c>
    </row>
    <row r="3157" spans="2:12" ht="15" customHeight="1" x14ac:dyDescent="0.2">
      <c r="B3157" s="250" t="s">
        <v>2269</v>
      </c>
      <c r="C3157" s="250" t="s">
        <v>1918</v>
      </c>
      <c r="D3157" s="252" t="s">
        <v>1777</v>
      </c>
      <c r="K3157" s="250">
        <v>0.45</v>
      </c>
      <c r="L3157" s="250">
        <v>6582.59</v>
      </c>
    </row>
    <row r="3158" spans="2:12" ht="15" customHeight="1" x14ac:dyDescent="0.2">
      <c r="B3158" s="250" t="s">
        <v>2270</v>
      </c>
      <c r="C3158" s="250" t="s">
        <v>1918</v>
      </c>
      <c r="D3158" s="252" t="s">
        <v>1777</v>
      </c>
      <c r="K3158" s="250">
        <v>0.45</v>
      </c>
      <c r="L3158" s="250">
        <v>11796.98</v>
      </c>
    </row>
    <row r="3159" spans="2:12" ht="15" customHeight="1" x14ac:dyDescent="0.2">
      <c r="B3159" s="250" t="s">
        <v>2271</v>
      </c>
      <c r="C3159" s="250" t="s">
        <v>1918</v>
      </c>
      <c r="D3159" s="252" t="s">
        <v>1777</v>
      </c>
      <c r="K3159" s="250">
        <v>0.45</v>
      </c>
      <c r="L3159" s="250">
        <v>17235.310000000001</v>
      </c>
    </row>
    <row r="3160" spans="2:12" ht="15" customHeight="1" x14ac:dyDescent="0.2">
      <c r="B3160" s="250" t="s">
        <v>4005</v>
      </c>
      <c r="C3160" s="250" t="s">
        <v>1918</v>
      </c>
      <c r="D3160" s="252" t="s">
        <v>4006</v>
      </c>
      <c r="K3160" s="250">
        <v>0.45</v>
      </c>
      <c r="L3160" s="250">
        <v>169.8</v>
      </c>
    </row>
    <row r="3161" spans="2:12" ht="15" customHeight="1" x14ac:dyDescent="0.2">
      <c r="B3161" s="250" t="s">
        <v>4007</v>
      </c>
      <c r="C3161" s="250" t="s">
        <v>1918</v>
      </c>
      <c r="D3161" s="252" t="s">
        <v>4006</v>
      </c>
      <c r="K3161" s="250">
        <v>0.45</v>
      </c>
      <c r="L3161" s="250">
        <v>169.8</v>
      </c>
    </row>
    <row r="3162" spans="2:12" ht="15" customHeight="1" x14ac:dyDescent="0.2">
      <c r="B3162" s="250" t="s">
        <v>4008</v>
      </c>
      <c r="C3162" s="250" t="s">
        <v>1918</v>
      </c>
      <c r="D3162" s="252" t="s">
        <v>4006</v>
      </c>
      <c r="K3162" s="250">
        <v>0.45</v>
      </c>
      <c r="L3162" s="250">
        <v>169.8</v>
      </c>
    </row>
    <row r="3163" spans="2:12" ht="15" customHeight="1" x14ac:dyDescent="0.2">
      <c r="B3163" s="250" t="s">
        <v>4009</v>
      </c>
      <c r="C3163" s="250" t="s">
        <v>1918</v>
      </c>
      <c r="D3163" s="252" t="s">
        <v>4006</v>
      </c>
      <c r="K3163" s="250">
        <v>0.45</v>
      </c>
      <c r="L3163" s="250">
        <v>169.8</v>
      </c>
    </row>
    <row r="3164" spans="2:12" ht="15" customHeight="1" x14ac:dyDescent="0.2">
      <c r="B3164" s="250" t="s">
        <v>4010</v>
      </c>
      <c r="C3164" s="250" t="s">
        <v>1918</v>
      </c>
      <c r="D3164" s="252" t="s">
        <v>4006</v>
      </c>
      <c r="K3164" s="250">
        <v>0.45</v>
      </c>
      <c r="L3164" s="250">
        <v>169.8</v>
      </c>
    </row>
    <row r="3165" spans="2:12" ht="15" customHeight="1" x14ac:dyDescent="0.2">
      <c r="B3165" s="250" t="s">
        <v>4011</v>
      </c>
      <c r="C3165" s="250" t="s">
        <v>1918</v>
      </c>
      <c r="D3165" s="252" t="s">
        <v>4006</v>
      </c>
      <c r="K3165" s="250">
        <v>0.45</v>
      </c>
      <c r="L3165" s="250">
        <v>182.64</v>
      </c>
    </row>
    <row r="3166" spans="2:12" ht="15" customHeight="1" x14ac:dyDescent="0.2">
      <c r="B3166" s="250" t="s">
        <v>4012</v>
      </c>
      <c r="C3166" s="250" t="s">
        <v>1918</v>
      </c>
      <c r="D3166" s="252" t="s">
        <v>4006</v>
      </c>
      <c r="K3166" s="250">
        <v>0.45</v>
      </c>
      <c r="L3166" s="250">
        <v>182.64</v>
      </c>
    </row>
    <row r="3167" spans="2:12" ht="15" customHeight="1" x14ac:dyDescent="0.2">
      <c r="B3167" s="250" t="s">
        <v>4013</v>
      </c>
      <c r="C3167" s="250" t="s">
        <v>1918</v>
      </c>
      <c r="D3167" s="252" t="s">
        <v>4006</v>
      </c>
      <c r="K3167" s="250">
        <v>0.45</v>
      </c>
      <c r="L3167" s="250">
        <v>192.95</v>
      </c>
    </row>
    <row r="3168" spans="2:12" ht="15" customHeight="1" x14ac:dyDescent="0.2">
      <c r="B3168" s="250" t="s">
        <v>4014</v>
      </c>
      <c r="C3168" s="250" t="s">
        <v>1918</v>
      </c>
      <c r="D3168" s="252" t="s">
        <v>4006</v>
      </c>
      <c r="K3168" s="250">
        <v>0.45</v>
      </c>
      <c r="L3168" s="250">
        <v>192.95</v>
      </c>
    </row>
    <row r="3169" spans="1:12" ht="15" customHeight="1" x14ac:dyDescent="0.2">
      <c r="A3169" s="250"/>
      <c r="B3169" s="250" t="s">
        <v>4015</v>
      </c>
      <c r="C3169" s="250" t="s">
        <v>1918</v>
      </c>
      <c r="D3169" s="252" t="s">
        <v>4006</v>
      </c>
      <c r="K3169" s="250">
        <v>0.45</v>
      </c>
      <c r="L3169" s="250">
        <v>362.41</v>
      </c>
    </row>
    <row r="3170" spans="1:12" ht="15" customHeight="1" x14ac:dyDescent="0.2">
      <c r="A3170" s="250"/>
      <c r="B3170" s="250" t="s">
        <v>4360</v>
      </c>
      <c r="C3170" s="250" t="s">
        <v>1918</v>
      </c>
      <c r="D3170" s="252" t="s">
        <v>4006</v>
      </c>
      <c r="K3170" s="250">
        <v>0.45</v>
      </c>
      <c r="L3170" s="250">
        <v>362.41</v>
      </c>
    </row>
    <row r="3171" spans="1:12" ht="15" customHeight="1" x14ac:dyDescent="0.2">
      <c r="A3171" s="250"/>
      <c r="B3171" s="250" t="s">
        <v>4361</v>
      </c>
      <c r="C3171" s="250" t="s">
        <v>1918</v>
      </c>
      <c r="D3171" s="252" t="s">
        <v>4006</v>
      </c>
      <c r="K3171" s="250">
        <v>0.45</v>
      </c>
      <c r="L3171" s="250">
        <v>362.41</v>
      </c>
    </row>
    <row r="3172" spans="1:12" ht="15" customHeight="1" x14ac:dyDescent="0.2">
      <c r="A3172" s="250"/>
      <c r="B3172" s="250" t="s">
        <v>4016</v>
      </c>
      <c r="C3172" s="250" t="s">
        <v>1918</v>
      </c>
      <c r="D3172" s="252" t="s">
        <v>4006</v>
      </c>
      <c r="K3172" s="250">
        <v>0.45</v>
      </c>
      <c r="L3172" s="250">
        <v>433.41</v>
      </c>
    </row>
    <row r="3173" spans="1:12" ht="15" customHeight="1" x14ac:dyDescent="0.2">
      <c r="A3173" s="250"/>
      <c r="B3173" s="250" t="s">
        <v>4362</v>
      </c>
      <c r="C3173" s="250" t="s">
        <v>1918</v>
      </c>
      <c r="D3173" s="252" t="s">
        <v>4006</v>
      </c>
      <c r="K3173" s="250">
        <v>0.45</v>
      </c>
      <c r="L3173" s="250">
        <v>376.89</v>
      </c>
    </row>
    <row r="3174" spans="1:12" ht="15" customHeight="1" x14ac:dyDescent="0.2">
      <c r="A3174" s="250"/>
      <c r="B3174" s="250" t="s">
        <v>4017</v>
      </c>
      <c r="C3174" s="250" t="s">
        <v>1918</v>
      </c>
      <c r="D3174" s="252" t="s">
        <v>4006</v>
      </c>
      <c r="K3174" s="250">
        <v>0.45</v>
      </c>
      <c r="L3174" s="250">
        <v>376.89</v>
      </c>
    </row>
    <row r="3175" spans="1:12" ht="15" customHeight="1" x14ac:dyDescent="0.2">
      <c r="A3175" s="250"/>
      <c r="B3175" s="250" t="s">
        <v>4018</v>
      </c>
      <c r="C3175" s="250" t="s">
        <v>1918</v>
      </c>
      <c r="D3175" s="252" t="s">
        <v>4006</v>
      </c>
      <c r="K3175" s="250">
        <v>0.45</v>
      </c>
      <c r="L3175" s="250">
        <v>430.72</v>
      </c>
    </row>
    <row r="3176" spans="1:12" ht="15" customHeight="1" x14ac:dyDescent="0.2">
      <c r="A3176" s="250"/>
      <c r="B3176" s="250" t="s">
        <v>4019</v>
      </c>
      <c r="C3176" s="250" t="s">
        <v>1918</v>
      </c>
      <c r="D3176" s="252" t="s">
        <v>4006</v>
      </c>
      <c r="K3176" s="250">
        <v>0.45</v>
      </c>
      <c r="L3176" s="250">
        <v>653.04</v>
      </c>
    </row>
    <row r="3177" spans="1:12" ht="15" customHeight="1" x14ac:dyDescent="0.2">
      <c r="B3177" s="250" t="s">
        <v>4020</v>
      </c>
      <c r="C3177" s="250" t="s">
        <v>1918</v>
      </c>
      <c r="D3177" s="252" t="s">
        <v>4006</v>
      </c>
      <c r="K3177" s="250">
        <v>0.45</v>
      </c>
      <c r="L3177" s="250">
        <v>694.5</v>
      </c>
    </row>
    <row r="3178" spans="1:12" ht="15" customHeight="1" x14ac:dyDescent="0.2">
      <c r="B3178" s="250" t="s">
        <v>4021</v>
      </c>
      <c r="C3178" s="250" t="s">
        <v>1918</v>
      </c>
      <c r="D3178" s="252" t="s">
        <v>4006</v>
      </c>
      <c r="K3178" s="250">
        <v>0.45</v>
      </c>
      <c r="L3178" s="250">
        <v>786.72</v>
      </c>
    </row>
    <row r="3179" spans="1:12" ht="15" customHeight="1" x14ac:dyDescent="0.2">
      <c r="B3179" s="250" t="s">
        <v>4363</v>
      </c>
      <c r="C3179" s="250" t="s">
        <v>1918</v>
      </c>
      <c r="D3179" s="252" t="s">
        <v>4006</v>
      </c>
      <c r="K3179" s="250">
        <v>0.45</v>
      </c>
      <c r="L3179" s="250">
        <v>818.21</v>
      </c>
    </row>
    <row r="3180" spans="1:12" ht="15" customHeight="1" x14ac:dyDescent="0.2">
      <c r="B3180" s="250" t="s">
        <v>4022</v>
      </c>
      <c r="C3180" s="250" t="s">
        <v>1918</v>
      </c>
      <c r="D3180" s="252" t="s">
        <v>4006</v>
      </c>
      <c r="K3180" s="250">
        <v>0.45</v>
      </c>
      <c r="L3180" s="250">
        <v>1606.67</v>
      </c>
    </row>
    <row r="3181" spans="1:12" ht="15" customHeight="1" x14ac:dyDescent="0.2">
      <c r="B3181" s="250" t="s">
        <v>4364</v>
      </c>
      <c r="C3181" s="250" t="s">
        <v>1918</v>
      </c>
      <c r="D3181" s="252" t="s">
        <v>4006</v>
      </c>
      <c r="K3181" s="250">
        <v>0.45</v>
      </c>
      <c r="L3181" s="250">
        <v>1762.16</v>
      </c>
    </row>
    <row r="3182" spans="1:12" ht="15" customHeight="1" x14ac:dyDescent="0.2">
      <c r="B3182" s="250" t="s">
        <v>4023</v>
      </c>
      <c r="C3182" s="250" t="s">
        <v>1918</v>
      </c>
      <c r="D3182" s="252" t="s">
        <v>4006</v>
      </c>
      <c r="K3182" s="250">
        <v>0.45</v>
      </c>
      <c r="L3182" s="250">
        <v>1865.82</v>
      </c>
    </row>
    <row r="3183" spans="1:12" ht="15" customHeight="1" x14ac:dyDescent="0.2">
      <c r="B3183" s="250" t="s">
        <v>4024</v>
      </c>
      <c r="C3183" s="250" t="s">
        <v>1918</v>
      </c>
      <c r="D3183" s="252" t="s">
        <v>4006</v>
      </c>
      <c r="K3183" s="250">
        <v>0.45</v>
      </c>
      <c r="L3183" s="250">
        <v>2073.13</v>
      </c>
    </row>
    <row r="3184" spans="1:12" ht="15" customHeight="1" x14ac:dyDescent="0.2">
      <c r="B3184" s="250" t="s">
        <v>4025</v>
      </c>
      <c r="C3184" s="250" t="s">
        <v>1918</v>
      </c>
      <c r="D3184" s="252" t="s">
        <v>4006</v>
      </c>
      <c r="K3184" s="250">
        <v>0.45</v>
      </c>
      <c r="L3184" s="250">
        <v>2228.61</v>
      </c>
    </row>
    <row r="3185" spans="1:14" ht="15" customHeight="1" x14ac:dyDescent="0.2">
      <c r="B3185" s="250" t="s">
        <v>4026</v>
      </c>
      <c r="C3185" s="250" t="s">
        <v>1918</v>
      </c>
      <c r="D3185" s="252" t="s">
        <v>4006</v>
      </c>
      <c r="K3185" s="250">
        <v>0.45</v>
      </c>
      <c r="L3185" s="250">
        <v>2384.1</v>
      </c>
    </row>
    <row r="3186" spans="1:14" ht="15" customHeight="1" x14ac:dyDescent="0.2">
      <c r="A3186" s="250"/>
      <c r="B3186" s="250" t="s">
        <v>2397</v>
      </c>
      <c r="C3186" s="250" t="s">
        <v>1918</v>
      </c>
      <c r="D3186" s="252" t="s">
        <v>4027</v>
      </c>
      <c r="K3186" s="250">
        <v>0.55000000000000004</v>
      </c>
      <c r="L3186" s="250">
        <v>61.1</v>
      </c>
      <c r="N3186" s="250">
        <v>1</v>
      </c>
    </row>
    <row r="3187" spans="1:14" ht="15" customHeight="1" x14ac:dyDescent="0.2">
      <c r="A3187" s="250"/>
      <c r="B3187" s="250" t="s">
        <v>2398</v>
      </c>
      <c r="C3187" s="250" t="s">
        <v>1918</v>
      </c>
      <c r="D3187" s="252" t="s">
        <v>4027</v>
      </c>
      <c r="K3187" s="250">
        <v>0.55000000000000004</v>
      </c>
      <c r="L3187" s="250">
        <v>50.7</v>
      </c>
      <c r="N3187" s="250">
        <v>1</v>
      </c>
    </row>
    <row r="3188" spans="1:14" ht="15" customHeight="1" x14ac:dyDescent="0.2">
      <c r="A3188" s="250"/>
      <c r="B3188" s="250" t="s">
        <v>2399</v>
      </c>
      <c r="C3188" s="250" t="s">
        <v>1918</v>
      </c>
      <c r="D3188" s="252" t="s">
        <v>4027</v>
      </c>
      <c r="K3188" s="250">
        <v>0.55000000000000004</v>
      </c>
      <c r="L3188" s="250">
        <v>50.4</v>
      </c>
      <c r="N3188" s="250">
        <v>1</v>
      </c>
    </row>
    <row r="3189" spans="1:14" ht="15" customHeight="1" x14ac:dyDescent="0.2">
      <c r="A3189" s="250"/>
      <c r="B3189" s="250" t="s">
        <v>2400</v>
      </c>
      <c r="C3189" s="250" t="s">
        <v>1918</v>
      </c>
      <c r="D3189" s="252" t="s">
        <v>4027</v>
      </c>
      <c r="K3189" s="250">
        <v>0.55000000000000004</v>
      </c>
      <c r="L3189" s="250">
        <v>37</v>
      </c>
      <c r="N3189" s="250">
        <v>1</v>
      </c>
    </row>
    <row r="3190" spans="1:14" ht="15" customHeight="1" x14ac:dyDescent="0.2">
      <c r="A3190" s="250"/>
      <c r="B3190" s="250" t="s">
        <v>2401</v>
      </c>
      <c r="C3190" s="250" t="s">
        <v>1918</v>
      </c>
      <c r="D3190" s="252" t="s">
        <v>4027</v>
      </c>
      <c r="K3190" s="250">
        <v>0.55000000000000004</v>
      </c>
      <c r="L3190" s="250">
        <v>37.1</v>
      </c>
      <c r="N3190" s="250">
        <v>1</v>
      </c>
    </row>
    <row r="3191" spans="1:14" ht="15" customHeight="1" x14ac:dyDescent="0.2">
      <c r="A3191" s="250"/>
      <c r="B3191" s="250" t="s">
        <v>2402</v>
      </c>
      <c r="C3191" s="250" t="s">
        <v>1918</v>
      </c>
      <c r="D3191" s="252" t="s">
        <v>4027</v>
      </c>
      <c r="K3191" s="250">
        <v>0.55000000000000004</v>
      </c>
      <c r="L3191" s="250">
        <v>37</v>
      </c>
      <c r="N3191" s="250">
        <v>1</v>
      </c>
    </row>
    <row r="3192" spans="1:14" ht="15" customHeight="1" x14ac:dyDescent="0.2">
      <c r="A3192" s="250"/>
      <c r="B3192" s="250" t="s">
        <v>2403</v>
      </c>
      <c r="C3192" s="250" t="s">
        <v>1918</v>
      </c>
      <c r="D3192" s="252" t="s">
        <v>4027</v>
      </c>
      <c r="K3192" s="250">
        <v>0.55000000000000004</v>
      </c>
      <c r="L3192" s="250">
        <v>37</v>
      </c>
      <c r="N3192" s="250">
        <v>1</v>
      </c>
    </row>
    <row r="3193" spans="1:14" ht="15" customHeight="1" x14ac:dyDescent="0.2">
      <c r="A3193" s="250"/>
      <c r="B3193" s="250" t="s">
        <v>2404</v>
      </c>
      <c r="C3193" s="250" t="s">
        <v>1918</v>
      </c>
      <c r="D3193" s="252" t="s">
        <v>4027</v>
      </c>
      <c r="K3193" s="250">
        <v>0.55000000000000004</v>
      </c>
      <c r="L3193" s="250">
        <v>41.6</v>
      </c>
      <c r="N3193" s="250">
        <v>1</v>
      </c>
    </row>
    <row r="3194" spans="1:14" ht="15" customHeight="1" x14ac:dyDescent="0.2">
      <c r="A3194" s="250"/>
      <c r="B3194" s="250" t="s">
        <v>2405</v>
      </c>
      <c r="C3194" s="250" t="s">
        <v>1918</v>
      </c>
      <c r="D3194" s="252" t="s">
        <v>4027</v>
      </c>
      <c r="K3194" s="250">
        <v>0.55000000000000004</v>
      </c>
      <c r="L3194" s="250">
        <v>41.6</v>
      </c>
      <c r="N3194" s="250">
        <v>1</v>
      </c>
    </row>
    <row r="3195" spans="1:14" ht="15" customHeight="1" x14ac:dyDescent="0.2">
      <c r="A3195" s="250"/>
      <c r="B3195" s="250" t="s">
        <v>2406</v>
      </c>
      <c r="C3195" s="250" t="s">
        <v>1918</v>
      </c>
      <c r="D3195" s="252" t="s">
        <v>4027</v>
      </c>
      <c r="K3195" s="250">
        <v>0.55000000000000004</v>
      </c>
      <c r="L3195" s="250">
        <v>50.7</v>
      </c>
      <c r="N3195" s="250">
        <v>1</v>
      </c>
    </row>
    <row r="3196" spans="1:14" ht="15" customHeight="1" x14ac:dyDescent="0.2">
      <c r="A3196" s="250"/>
      <c r="B3196" s="250" t="s">
        <v>2407</v>
      </c>
      <c r="C3196" s="250" t="s">
        <v>1918</v>
      </c>
      <c r="D3196" s="252" t="s">
        <v>4027</v>
      </c>
      <c r="K3196" s="250">
        <v>0.55000000000000004</v>
      </c>
      <c r="L3196" s="250">
        <v>61.1</v>
      </c>
      <c r="N3196" s="250">
        <v>1</v>
      </c>
    </row>
    <row r="3197" spans="1:14" ht="15" customHeight="1" x14ac:dyDescent="0.2">
      <c r="A3197" s="250"/>
      <c r="B3197" s="250" t="s">
        <v>2408</v>
      </c>
      <c r="C3197" s="250" t="s">
        <v>1918</v>
      </c>
      <c r="D3197" s="252" t="s">
        <v>4027</v>
      </c>
      <c r="K3197" s="250">
        <v>0.55000000000000004</v>
      </c>
      <c r="L3197" s="250">
        <v>67</v>
      </c>
      <c r="N3197" s="250">
        <v>1</v>
      </c>
    </row>
    <row r="3198" spans="1:14" ht="15" customHeight="1" x14ac:dyDescent="0.2">
      <c r="A3198" s="250"/>
      <c r="B3198" s="250" t="s">
        <v>2409</v>
      </c>
      <c r="C3198" s="250" t="s">
        <v>1918</v>
      </c>
      <c r="D3198" s="252" t="s">
        <v>4027</v>
      </c>
      <c r="K3198" s="250">
        <v>0.55000000000000004</v>
      </c>
      <c r="L3198" s="250">
        <v>141.30000000000001</v>
      </c>
      <c r="N3198" s="250">
        <v>2</v>
      </c>
    </row>
    <row r="3199" spans="1:14" ht="15" customHeight="1" x14ac:dyDescent="0.2">
      <c r="A3199" s="250"/>
      <c r="B3199" s="250" t="s">
        <v>2410</v>
      </c>
      <c r="C3199" s="250" t="s">
        <v>1918</v>
      </c>
      <c r="D3199" s="252" t="s">
        <v>4027</v>
      </c>
      <c r="K3199" s="250">
        <v>0.55000000000000004</v>
      </c>
      <c r="L3199" s="250">
        <v>120.5</v>
      </c>
      <c r="N3199" s="250">
        <v>2</v>
      </c>
    </row>
    <row r="3200" spans="1:14" ht="15" customHeight="1" x14ac:dyDescent="0.2">
      <c r="A3200" s="250"/>
      <c r="B3200" s="250" t="s">
        <v>2411</v>
      </c>
      <c r="C3200" s="250" t="s">
        <v>1918</v>
      </c>
      <c r="D3200" s="252" t="s">
        <v>4027</v>
      </c>
      <c r="K3200" s="250">
        <v>0.55000000000000004</v>
      </c>
      <c r="L3200" s="250">
        <v>121.5</v>
      </c>
      <c r="N3200" s="250">
        <v>2</v>
      </c>
    </row>
    <row r="3201" spans="2:14" ht="15" customHeight="1" x14ac:dyDescent="0.2">
      <c r="B3201" s="250" t="s">
        <v>2412</v>
      </c>
      <c r="C3201" s="250" t="s">
        <v>1918</v>
      </c>
      <c r="D3201" s="252" t="s">
        <v>4027</v>
      </c>
      <c r="K3201" s="250">
        <v>0.55000000000000004</v>
      </c>
      <c r="L3201" s="250">
        <v>90.7</v>
      </c>
      <c r="N3201" s="250">
        <v>2</v>
      </c>
    </row>
    <row r="3202" spans="2:14" ht="15" customHeight="1" x14ac:dyDescent="0.2">
      <c r="B3202" s="250" t="s">
        <v>2413</v>
      </c>
      <c r="C3202" s="250" t="s">
        <v>1918</v>
      </c>
      <c r="D3202" s="252" t="s">
        <v>4027</v>
      </c>
      <c r="K3202" s="250">
        <v>0.55000000000000004</v>
      </c>
      <c r="L3202" s="250">
        <v>90.8</v>
      </c>
      <c r="N3202" s="250">
        <v>2</v>
      </c>
    </row>
    <row r="3203" spans="2:14" ht="15" customHeight="1" x14ac:dyDescent="0.2">
      <c r="B3203" s="250" t="s">
        <v>2414</v>
      </c>
      <c r="C3203" s="250" t="s">
        <v>1918</v>
      </c>
      <c r="D3203" s="252" t="s">
        <v>4027</v>
      </c>
      <c r="K3203" s="250">
        <v>0.55000000000000004</v>
      </c>
      <c r="L3203" s="250">
        <v>90.7</v>
      </c>
      <c r="N3203" s="250">
        <v>2</v>
      </c>
    </row>
    <row r="3204" spans="2:14" ht="15" customHeight="1" x14ac:dyDescent="0.2">
      <c r="B3204" s="250" t="s">
        <v>2415</v>
      </c>
      <c r="C3204" s="250" t="s">
        <v>1918</v>
      </c>
      <c r="D3204" s="252" t="s">
        <v>4027</v>
      </c>
      <c r="K3204" s="250">
        <v>0.55000000000000004</v>
      </c>
      <c r="L3204" s="250">
        <v>90.7</v>
      </c>
      <c r="N3204" s="250">
        <v>2</v>
      </c>
    </row>
    <row r="3205" spans="2:14" ht="15" customHeight="1" x14ac:dyDescent="0.2">
      <c r="B3205" s="250" t="s">
        <v>2416</v>
      </c>
      <c r="C3205" s="250" t="s">
        <v>1918</v>
      </c>
      <c r="D3205" s="252" t="s">
        <v>4027</v>
      </c>
      <c r="K3205" s="250">
        <v>0.55000000000000004</v>
      </c>
      <c r="L3205" s="250">
        <v>99.6</v>
      </c>
      <c r="N3205" s="250">
        <v>2</v>
      </c>
    </row>
    <row r="3206" spans="2:14" ht="15" customHeight="1" x14ac:dyDescent="0.2">
      <c r="B3206" s="250" t="s">
        <v>2417</v>
      </c>
      <c r="C3206" s="250" t="s">
        <v>1918</v>
      </c>
      <c r="D3206" s="252" t="s">
        <v>4027</v>
      </c>
      <c r="K3206" s="250">
        <v>0.55000000000000004</v>
      </c>
      <c r="L3206" s="250">
        <v>99.6</v>
      </c>
      <c r="N3206" s="250">
        <v>2</v>
      </c>
    </row>
    <row r="3207" spans="2:14" ht="15" customHeight="1" x14ac:dyDescent="0.2">
      <c r="B3207" s="250" t="s">
        <v>2418</v>
      </c>
      <c r="C3207" s="250" t="s">
        <v>1918</v>
      </c>
      <c r="D3207" s="252" t="s">
        <v>4027</v>
      </c>
      <c r="K3207" s="250">
        <v>0.55000000000000004</v>
      </c>
      <c r="L3207" s="250">
        <v>122</v>
      </c>
      <c r="N3207" s="250">
        <v>2</v>
      </c>
    </row>
    <row r="3208" spans="2:14" ht="15" customHeight="1" x14ac:dyDescent="0.2">
      <c r="B3208" s="250" t="s">
        <v>2419</v>
      </c>
      <c r="C3208" s="250" t="s">
        <v>1918</v>
      </c>
      <c r="D3208" s="252" t="s">
        <v>4027</v>
      </c>
      <c r="K3208" s="250">
        <v>0.55000000000000004</v>
      </c>
      <c r="L3208" s="250">
        <v>138.30000000000001</v>
      </c>
      <c r="N3208" s="250">
        <v>2</v>
      </c>
    </row>
    <row r="3209" spans="2:14" ht="15" customHeight="1" x14ac:dyDescent="0.2">
      <c r="B3209" s="250" t="s">
        <v>2420</v>
      </c>
      <c r="C3209" s="250" t="s">
        <v>1918</v>
      </c>
      <c r="D3209" s="252" t="s">
        <v>4027</v>
      </c>
      <c r="K3209" s="250">
        <v>0.55000000000000004</v>
      </c>
      <c r="L3209" s="250">
        <v>147.30000000000001</v>
      </c>
      <c r="N3209" s="250">
        <v>2</v>
      </c>
    </row>
    <row r="3210" spans="2:14" ht="15" customHeight="1" x14ac:dyDescent="0.2">
      <c r="B3210" s="250" t="s">
        <v>2421</v>
      </c>
      <c r="C3210" s="250" t="s">
        <v>1918</v>
      </c>
      <c r="D3210" s="252" t="s">
        <v>4027</v>
      </c>
      <c r="K3210" s="250">
        <v>0.55000000000000004</v>
      </c>
      <c r="L3210" s="250">
        <v>208.3</v>
      </c>
      <c r="N3210" s="250">
        <v>3</v>
      </c>
    </row>
    <row r="3211" spans="2:14" ht="15" customHeight="1" x14ac:dyDescent="0.2">
      <c r="B3211" s="250" t="s">
        <v>2422</v>
      </c>
      <c r="C3211" s="250" t="s">
        <v>1918</v>
      </c>
      <c r="D3211" s="252" t="s">
        <v>4027</v>
      </c>
      <c r="K3211" s="250">
        <v>0.55000000000000004</v>
      </c>
      <c r="L3211" s="250">
        <v>178.5</v>
      </c>
      <c r="N3211" s="250">
        <v>3</v>
      </c>
    </row>
    <row r="3212" spans="2:14" ht="15" customHeight="1" x14ac:dyDescent="0.2">
      <c r="B3212" s="250" t="s">
        <v>2423</v>
      </c>
      <c r="C3212" s="250" t="s">
        <v>1918</v>
      </c>
      <c r="D3212" s="252" t="s">
        <v>4027</v>
      </c>
      <c r="K3212" s="250">
        <v>0.55000000000000004</v>
      </c>
      <c r="L3212" s="250">
        <v>176.3</v>
      </c>
      <c r="N3212" s="250">
        <v>3</v>
      </c>
    </row>
    <row r="3213" spans="2:14" ht="15" customHeight="1" x14ac:dyDescent="0.2">
      <c r="B3213" s="250" t="s">
        <v>2424</v>
      </c>
      <c r="C3213" s="250" t="s">
        <v>1918</v>
      </c>
      <c r="D3213" s="252" t="s">
        <v>4027</v>
      </c>
      <c r="K3213" s="250">
        <v>0.55000000000000004</v>
      </c>
      <c r="L3213" s="250">
        <v>144.19999999999999</v>
      </c>
      <c r="N3213" s="250">
        <v>3</v>
      </c>
    </row>
    <row r="3214" spans="2:14" ht="15" customHeight="1" x14ac:dyDescent="0.2">
      <c r="B3214" s="250" t="s">
        <v>2425</v>
      </c>
      <c r="C3214" s="250" t="s">
        <v>1918</v>
      </c>
      <c r="D3214" s="252" t="s">
        <v>4027</v>
      </c>
      <c r="K3214" s="250">
        <v>0.55000000000000004</v>
      </c>
      <c r="L3214" s="250">
        <v>144.19999999999999</v>
      </c>
      <c r="N3214" s="250">
        <v>3</v>
      </c>
    </row>
    <row r="3215" spans="2:14" ht="15" customHeight="1" x14ac:dyDescent="0.2">
      <c r="B3215" s="250" t="s">
        <v>2426</v>
      </c>
      <c r="C3215" s="250" t="s">
        <v>1918</v>
      </c>
      <c r="D3215" s="252" t="s">
        <v>4027</v>
      </c>
      <c r="K3215" s="250">
        <v>0.55000000000000004</v>
      </c>
      <c r="L3215" s="250">
        <v>144.19999999999999</v>
      </c>
      <c r="N3215" s="250">
        <v>3</v>
      </c>
    </row>
    <row r="3216" spans="2:14" ht="15" customHeight="1" x14ac:dyDescent="0.2">
      <c r="B3216" s="250" t="s">
        <v>2427</v>
      </c>
      <c r="C3216" s="250" t="s">
        <v>1918</v>
      </c>
      <c r="D3216" s="252" t="s">
        <v>4027</v>
      </c>
      <c r="K3216" s="250">
        <v>0.55000000000000004</v>
      </c>
      <c r="L3216" s="250">
        <v>144.19999999999999</v>
      </c>
      <c r="N3216" s="250">
        <v>3</v>
      </c>
    </row>
    <row r="3217" spans="2:14" ht="15" customHeight="1" x14ac:dyDescent="0.2">
      <c r="B3217" s="250" t="s">
        <v>2428</v>
      </c>
      <c r="C3217" s="250" t="s">
        <v>1918</v>
      </c>
      <c r="D3217" s="252" t="s">
        <v>4027</v>
      </c>
      <c r="K3217" s="250">
        <v>0.55000000000000004</v>
      </c>
      <c r="L3217" s="250">
        <v>156.19999999999999</v>
      </c>
      <c r="N3217" s="250">
        <v>3</v>
      </c>
    </row>
    <row r="3218" spans="2:14" ht="15" customHeight="1" x14ac:dyDescent="0.2">
      <c r="B3218" s="250" t="s">
        <v>2429</v>
      </c>
      <c r="C3218" s="250" t="s">
        <v>1918</v>
      </c>
      <c r="D3218" s="252" t="s">
        <v>4027</v>
      </c>
      <c r="K3218" s="250">
        <v>0.55000000000000004</v>
      </c>
      <c r="L3218" s="250">
        <v>156.19999999999999</v>
      </c>
      <c r="N3218" s="250">
        <v>3</v>
      </c>
    </row>
    <row r="3219" spans="2:14" ht="15" customHeight="1" x14ac:dyDescent="0.2">
      <c r="B3219" s="250" t="s">
        <v>2430</v>
      </c>
      <c r="C3219" s="250" t="s">
        <v>1918</v>
      </c>
      <c r="D3219" s="252" t="s">
        <v>4027</v>
      </c>
      <c r="K3219" s="250">
        <v>0.55000000000000004</v>
      </c>
      <c r="L3219" s="250">
        <v>185.8</v>
      </c>
      <c r="N3219" s="250">
        <v>3</v>
      </c>
    </row>
    <row r="3220" spans="2:14" ht="15" customHeight="1" x14ac:dyDescent="0.2">
      <c r="B3220" s="250" t="s">
        <v>2431</v>
      </c>
      <c r="C3220" s="250" t="s">
        <v>1918</v>
      </c>
      <c r="D3220" s="252" t="s">
        <v>4027</v>
      </c>
      <c r="K3220" s="250">
        <v>0.55000000000000004</v>
      </c>
      <c r="L3220" s="250">
        <v>208.3</v>
      </c>
      <c r="N3220" s="250">
        <v>3</v>
      </c>
    </row>
    <row r="3221" spans="2:14" ht="15" customHeight="1" x14ac:dyDescent="0.2">
      <c r="B3221" s="250" t="s">
        <v>2432</v>
      </c>
      <c r="C3221" s="250" t="s">
        <v>1918</v>
      </c>
      <c r="D3221" s="252" t="s">
        <v>4027</v>
      </c>
      <c r="K3221" s="250">
        <v>0.55000000000000004</v>
      </c>
      <c r="L3221" s="250">
        <v>223.2</v>
      </c>
      <c r="N3221" s="250">
        <v>3</v>
      </c>
    </row>
    <row r="3222" spans="2:14" ht="15" customHeight="1" x14ac:dyDescent="0.2">
      <c r="B3222" s="250" t="s">
        <v>2433</v>
      </c>
      <c r="C3222" s="250" t="s">
        <v>1918</v>
      </c>
      <c r="D3222" s="252" t="s">
        <v>4027</v>
      </c>
      <c r="K3222" s="250">
        <v>0.55000000000000004</v>
      </c>
      <c r="L3222" s="250">
        <v>282.8</v>
      </c>
      <c r="N3222" s="250">
        <v>4</v>
      </c>
    </row>
    <row r="3223" spans="2:14" ht="15" customHeight="1" x14ac:dyDescent="0.2">
      <c r="B3223" s="250" t="s">
        <v>2434</v>
      </c>
      <c r="C3223" s="250" t="s">
        <v>1918</v>
      </c>
      <c r="D3223" s="252" t="s">
        <v>4027</v>
      </c>
      <c r="K3223" s="250">
        <v>0.55000000000000004</v>
      </c>
      <c r="L3223" s="250">
        <v>238</v>
      </c>
      <c r="N3223" s="250">
        <v>4</v>
      </c>
    </row>
    <row r="3224" spans="2:14" ht="15" customHeight="1" x14ac:dyDescent="0.2">
      <c r="B3224" s="250" t="s">
        <v>2435</v>
      </c>
      <c r="C3224" s="250" t="s">
        <v>1918</v>
      </c>
      <c r="D3224" s="252" t="s">
        <v>4027</v>
      </c>
      <c r="K3224" s="250">
        <v>0.55000000000000004</v>
      </c>
      <c r="L3224" s="250">
        <v>238.5</v>
      </c>
      <c r="N3224" s="250">
        <v>4</v>
      </c>
    </row>
    <row r="3225" spans="2:14" ht="15" customHeight="1" x14ac:dyDescent="0.2">
      <c r="B3225" s="250" t="s">
        <v>2436</v>
      </c>
      <c r="C3225" s="250" t="s">
        <v>1918</v>
      </c>
      <c r="D3225" s="252" t="s">
        <v>4027</v>
      </c>
      <c r="K3225" s="250">
        <v>0.55000000000000004</v>
      </c>
      <c r="L3225" s="250">
        <v>193.3</v>
      </c>
      <c r="N3225" s="250">
        <v>4</v>
      </c>
    </row>
    <row r="3226" spans="2:14" ht="15" customHeight="1" x14ac:dyDescent="0.2">
      <c r="B3226" s="250" t="s">
        <v>2437</v>
      </c>
      <c r="C3226" s="250" t="s">
        <v>1918</v>
      </c>
      <c r="D3226" s="252" t="s">
        <v>4027</v>
      </c>
      <c r="K3226" s="250">
        <v>0.55000000000000004</v>
      </c>
      <c r="L3226" s="250">
        <v>193.3</v>
      </c>
      <c r="N3226" s="250">
        <v>4</v>
      </c>
    </row>
    <row r="3227" spans="2:14" ht="15" customHeight="1" x14ac:dyDescent="0.2">
      <c r="B3227" s="250" t="s">
        <v>2438</v>
      </c>
      <c r="C3227" s="250" t="s">
        <v>1918</v>
      </c>
      <c r="D3227" s="252" t="s">
        <v>4027</v>
      </c>
      <c r="K3227" s="250">
        <v>0.55000000000000004</v>
      </c>
      <c r="L3227" s="250">
        <v>193.3</v>
      </c>
      <c r="N3227" s="250">
        <v>4</v>
      </c>
    </row>
    <row r="3228" spans="2:14" ht="15" customHeight="1" x14ac:dyDescent="0.2">
      <c r="B3228" s="250" t="s">
        <v>2439</v>
      </c>
      <c r="C3228" s="250" t="s">
        <v>1918</v>
      </c>
      <c r="D3228" s="252" t="s">
        <v>4027</v>
      </c>
      <c r="K3228" s="250">
        <v>0.55000000000000004</v>
      </c>
      <c r="L3228" s="250">
        <v>193.3</v>
      </c>
      <c r="N3228" s="250">
        <v>4</v>
      </c>
    </row>
    <row r="3229" spans="2:14" ht="15" customHeight="1" x14ac:dyDescent="0.2">
      <c r="B3229" s="250" t="s">
        <v>2440</v>
      </c>
      <c r="C3229" s="250" t="s">
        <v>1918</v>
      </c>
      <c r="D3229" s="252" t="s">
        <v>4027</v>
      </c>
      <c r="K3229" s="250">
        <v>0.55000000000000004</v>
      </c>
      <c r="L3229" s="250">
        <v>208.3</v>
      </c>
      <c r="N3229" s="250">
        <v>4</v>
      </c>
    </row>
    <row r="3230" spans="2:14" ht="15" customHeight="1" x14ac:dyDescent="0.2">
      <c r="B3230" s="250" t="s">
        <v>2441</v>
      </c>
      <c r="C3230" s="250" t="s">
        <v>1918</v>
      </c>
      <c r="D3230" s="252" t="s">
        <v>4027</v>
      </c>
      <c r="K3230" s="250">
        <v>0.55000000000000004</v>
      </c>
      <c r="L3230" s="250">
        <v>208.3</v>
      </c>
      <c r="N3230" s="250">
        <v>4</v>
      </c>
    </row>
    <row r="3231" spans="2:14" ht="15" customHeight="1" x14ac:dyDescent="0.2">
      <c r="B3231" s="250" t="s">
        <v>2442</v>
      </c>
      <c r="C3231" s="250" t="s">
        <v>1918</v>
      </c>
      <c r="D3231" s="252" t="s">
        <v>4027</v>
      </c>
      <c r="K3231" s="250">
        <v>0.55000000000000004</v>
      </c>
      <c r="L3231" s="250">
        <v>245.4</v>
      </c>
      <c r="N3231" s="250">
        <v>4</v>
      </c>
    </row>
    <row r="3232" spans="2:14" ht="15" customHeight="1" x14ac:dyDescent="0.2">
      <c r="B3232" s="250" t="s">
        <v>2443</v>
      </c>
      <c r="C3232" s="250" t="s">
        <v>1918</v>
      </c>
      <c r="D3232" s="252" t="s">
        <v>4027</v>
      </c>
      <c r="K3232" s="250">
        <v>0.55000000000000004</v>
      </c>
      <c r="L3232" s="250">
        <v>275</v>
      </c>
      <c r="N3232" s="250">
        <v>4</v>
      </c>
    </row>
    <row r="3233" spans="2:14" ht="15" customHeight="1" x14ac:dyDescent="0.2">
      <c r="B3233" s="250" t="s">
        <v>2444</v>
      </c>
      <c r="C3233" s="250" t="s">
        <v>1918</v>
      </c>
      <c r="D3233" s="252" t="s">
        <v>4027</v>
      </c>
      <c r="K3233" s="250">
        <v>0.55000000000000004</v>
      </c>
      <c r="L3233" s="250">
        <v>297.3</v>
      </c>
      <c r="N3233" s="250">
        <v>4</v>
      </c>
    </row>
    <row r="3234" spans="2:14" ht="15" customHeight="1" x14ac:dyDescent="0.2">
      <c r="B3234" s="250" t="s">
        <v>2445</v>
      </c>
      <c r="C3234" s="250" t="s">
        <v>1918</v>
      </c>
      <c r="D3234" s="252" t="s">
        <v>4027</v>
      </c>
      <c r="K3234" s="250">
        <v>0.55000000000000004</v>
      </c>
      <c r="L3234" s="250">
        <v>86.7</v>
      </c>
      <c r="N3234" s="250">
        <v>1</v>
      </c>
    </row>
    <row r="3235" spans="2:14" ht="15" customHeight="1" x14ac:dyDescent="0.2">
      <c r="B3235" s="250" t="s">
        <v>2446</v>
      </c>
      <c r="C3235" s="250" t="s">
        <v>1918</v>
      </c>
      <c r="D3235" s="252" t="s">
        <v>4027</v>
      </c>
      <c r="K3235" s="250">
        <v>0.55000000000000004</v>
      </c>
      <c r="L3235" s="250">
        <v>62.5</v>
      </c>
      <c r="N3235" s="250">
        <v>1</v>
      </c>
    </row>
    <row r="3236" spans="2:14" ht="15" customHeight="1" x14ac:dyDescent="0.2">
      <c r="B3236" s="250" t="s">
        <v>2447</v>
      </c>
      <c r="C3236" s="250" t="s">
        <v>1918</v>
      </c>
      <c r="D3236" s="252" t="s">
        <v>4027</v>
      </c>
      <c r="K3236" s="250">
        <v>0.55000000000000004</v>
      </c>
      <c r="L3236" s="250">
        <v>63.9</v>
      </c>
      <c r="N3236" s="250">
        <v>1</v>
      </c>
    </row>
    <row r="3237" spans="2:14" ht="15" customHeight="1" x14ac:dyDescent="0.2">
      <c r="B3237" s="250" t="s">
        <v>2448</v>
      </c>
      <c r="C3237" s="250" t="s">
        <v>1918</v>
      </c>
      <c r="D3237" s="252" t="s">
        <v>4027</v>
      </c>
      <c r="K3237" s="250">
        <v>0.55000000000000004</v>
      </c>
      <c r="L3237" s="250">
        <v>52.1</v>
      </c>
      <c r="N3237" s="250">
        <v>1</v>
      </c>
    </row>
    <row r="3238" spans="2:14" ht="15" customHeight="1" x14ac:dyDescent="0.2">
      <c r="B3238" s="250" t="s">
        <v>2449</v>
      </c>
      <c r="C3238" s="250" t="s">
        <v>1918</v>
      </c>
      <c r="D3238" s="252" t="s">
        <v>4027</v>
      </c>
      <c r="K3238" s="250">
        <v>0.55000000000000004</v>
      </c>
      <c r="L3238" s="250">
        <v>52.1</v>
      </c>
      <c r="N3238" s="250">
        <v>1</v>
      </c>
    </row>
    <row r="3239" spans="2:14" ht="15" customHeight="1" x14ac:dyDescent="0.2">
      <c r="B3239" s="250" t="s">
        <v>2450</v>
      </c>
      <c r="C3239" s="250" t="s">
        <v>1918</v>
      </c>
      <c r="D3239" s="252" t="s">
        <v>4027</v>
      </c>
      <c r="K3239" s="250">
        <v>0.55000000000000004</v>
      </c>
      <c r="L3239" s="250">
        <v>52.1</v>
      </c>
      <c r="N3239" s="250">
        <v>1</v>
      </c>
    </row>
    <row r="3240" spans="2:14" ht="15" customHeight="1" x14ac:dyDescent="0.2">
      <c r="B3240" s="250" t="s">
        <v>2451</v>
      </c>
      <c r="C3240" s="250" t="s">
        <v>1918</v>
      </c>
      <c r="D3240" s="252" t="s">
        <v>4027</v>
      </c>
      <c r="K3240" s="250">
        <v>0.55000000000000004</v>
      </c>
      <c r="L3240" s="250">
        <v>52.1</v>
      </c>
      <c r="N3240" s="250">
        <v>1</v>
      </c>
    </row>
    <row r="3241" spans="2:14" ht="15" customHeight="1" x14ac:dyDescent="0.2">
      <c r="B3241" s="250" t="s">
        <v>2452</v>
      </c>
      <c r="C3241" s="250" t="s">
        <v>1918</v>
      </c>
      <c r="D3241" s="252" t="s">
        <v>4027</v>
      </c>
      <c r="K3241" s="250">
        <v>0.55000000000000004</v>
      </c>
      <c r="L3241" s="250">
        <v>59.5</v>
      </c>
      <c r="N3241" s="250">
        <v>1</v>
      </c>
    </row>
    <row r="3242" spans="2:14" ht="15" customHeight="1" x14ac:dyDescent="0.2">
      <c r="B3242" s="250" t="s">
        <v>2453</v>
      </c>
      <c r="C3242" s="250" t="s">
        <v>1918</v>
      </c>
      <c r="D3242" s="252" t="s">
        <v>4027</v>
      </c>
      <c r="K3242" s="250">
        <v>0.55000000000000004</v>
      </c>
      <c r="L3242" s="250">
        <v>59.5</v>
      </c>
      <c r="N3242" s="250">
        <v>1</v>
      </c>
    </row>
    <row r="3243" spans="2:14" ht="15" customHeight="1" x14ac:dyDescent="0.2">
      <c r="B3243" s="250" t="s">
        <v>2454</v>
      </c>
      <c r="C3243" s="250" t="s">
        <v>1918</v>
      </c>
      <c r="D3243" s="252" t="s">
        <v>4027</v>
      </c>
      <c r="K3243" s="250">
        <v>0.55000000000000004</v>
      </c>
      <c r="L3243" s="250">
        <v>68.5</v>
      </c>
      <c r="N3243" s="250">
        <v>1</v>
      </c>
    </row>
    <row r="3244" spans="2:14" ht="15" customHeight="1" x14ac:dyDescent="0.2">
      <c r="B3244" s="250" t="s">
        <v>2455</v>
      </c>
      <c r="C3244" s="250" t="s">
        <v>1918</v>
      </c>
      <c r="D3244" s="252" t="s">
        <v>4027</v>
      </c>
      <c r="K3244" s="250">
        <v>0.55000000000000004</v>
      </c>
      <c r="L3244" s="250">
        <v>79.400000000000006</v>
      </c>
      <c r="N3244" s="250">
        <v>1</v>
      </c>
    </row>
    <row r="3245" spans="2:14" ht="15" customHeight="1" x14ac:dyDescent="0.2">
      <c r="B3245" s="250" t="s">
        <v>2456</v>
      </c>
      <c r="C3245" s="250" t="s">
        <v>1918</v>
      </c>
      <c r="D3245" s="252" t="s">
        <v>4027</v>
      </c>
      <c r="K3245" s="250">
        <v>0.55000000000000004</v>
      </c>
      <c r="L3245" s="250">
        <v>91.5</v>
      </c>
      <c r="N3245" s="250">
        <v>1</v>
      </c>
    </row>
    <row r="3246" spans="2:14" ht="15" customHeight="1" x14ac:dyDescent="0.2">
      <c r="B3246" s="250" t="s">
        <v>2457</v>
      </c>
      <c r="C3246" s="250" t="s">
        <v>1918</v>
      </c>
      <c r="D3246" s="252" t="s">
        <v>4027</v>
      </c>
      <c r="K3246" s="250">
        <v>0.55000000000000004</v>
      </c>
      <c r="L3246" s="250">
        <v>198.4</v>
      </c>
      <c r="N3246" s="250">
        <v>2</v>
      </c>
    </row>
    <row r="3247" spans="2:14" ht="15" customHeight="1" x14ac:dyDescent="0.2">
      <c r="B3247" s="250" t="s">
        <v>2458</v>
      </c>
      <c r="C3247" s="250" t="s">
        <v>1918</v>
      </c>
      <c r="D3247" s="252" t="s">
        <v>4027</v>
      </c>
      <c r="K3247" s="250">
        <v>0.55000000000000004</v>
      </c>
      <c r="L3247" s="250">
        <v>152.4</v>
      </c>
      <c r="N3247" s="250">
        <v>2</v>
      </c>
    </row>
    <row r="3248" spans="2:14" ht="15" customHeight="1" x14ac:dyDescent="0.2">
      <c r="B3248" s="250" t="s">
        <v>2459</v>
      </c>
      <c r="C3248" s="250" t="s">
        <v>1918</v>
      </c>
      <c r="D3248" s="252" t="s">
        <v>4027</v>
      </c>
      <c r="K3248" s="250">
        <v>0.55000000000000004</v>
      </c>
      <c r="L3248" s="250">
        <v>151.9</v>
      </c>
      <c r="N3248" s="250">
        <v>2</v>
      </c>
    </row>
    <row r="3249" spans="2:14" ht="15" customHeight="1" x14ac:dyDescent="0.2">
      <c r="B3249" s="250" t="s">
        <v>2460</v>
      </c>
      <c r="C3249" s="250" t="s">
        <v>1918</v>
      </c>
      <c r="D3249" s="252" t="s">
        <v>4027</v>
      </c>
      <c r="K3249" s="250">
        <v>0.55000000000000004</v>
      </c>
      <c r="L3249" s="250">
        <v>123.2</v>
      </c>
      <c r="N3249" s="250">
        <v>2</v>
      </c>
    </row>
    <row r="3250" spans="2:14" ht="15" customHeight="1" x14ac:dyDescent="0.2">
      <c r="B3250" s="250" t="s">
        <v>2461</v>
      </c>
      <c r="C3250" s="250" t="s">
        <v>1918</v>
      </c>
      <c r="D3250" s="252" t="s">
        <v>4027</v>
      </c>
      <c r="K3250" s="250">
        <v>0.55000000000000004</v>
      </c>
      <c r="L3250" s="250">
        <v>123.3</v>
      </c>
      <c r="N3250" s="250">
        <v>2</v>
      </c>
    </row>
    <row r="3251" spans="2:14" ht="15" customHeight="1" x14ac:dyDescent="0.2">
      <c r="B3251" s="250" t="s">
        <v>2462</v>
      </c>
      <c r="C3251" s="250" t="s">
        <v>1918</v>
      </c>
      <c r="D3251" s="252" t="s">
        <v>4027</v>
      </c>
      <c r="K3251" s="250">
        <v>0.55000000000000004</v>
      </c>
      <c r="L3251" s="250">
        <v>123.2</v>
      </c>
      <c r="N3251" s="250">
        <v>2</v>
      </c>
    </row>
    <row r="3252" spans="2:14" ht="15" customHeight="1" x14ac:dyDescent="0.2">
      <c r="B3252" s="250" t="s">
        <v>2463</v>
      </c>
      <c r="C3252" s="250" t="s">
        <v>1918</v>
      </c>
      <c r="D3252" s="252" t="s">
        <v>4027</v>
      </c>
      <c r="K3252" s="250">
        <v>0.55000000000000004</v>
      </c>
      <c r="L3252" s="250">
        <v>123.2</v>
      </c>
      <c r="N3252" s="250">
        <v>2</v>
      </c>
    </row>
    <row r="3253" spans="2:14" ht="15" customHeight="1" x14ac:dyDescent="0.2">
      <c r="B3253" s="250" t="s">
        <v>2464</v>
      </c>
      <c r="C3253" s="250" t="s">
        <v>1918</v>
      </c>
      <c r="D3253" s="252" t="s">
        <v>4027</v>
      </c>
      <c r="K3253" s="250">
        <v>0.55000000000000004</v>
      </c>
      <c r="L3253" s="250">
        <v>140.30000000000001</v>
      </c>
      <c r="N3253" s="250">
        <v>2</v>
      </c>
    </row>
    <row r="3254" spans="2:14" ht="15" customHeight="1" x14ac:dyDescent="0.2">
      <c r="B3254" s="250" t="s">
        <v>2465</v>
      </c>
      <c r="C3254" s="250" t="s">
        <v>1918</v>
      </c>
      <c r="D3254" s="252" t="s">
        <v>4027</v>
      </c>
      <c r="K3254" s="250">
        <v>0.55000000000000004</v>
      </c>
      <c r="L3254" s="250">
        <v>140.30000000000001</v>
      </c>
      <c r="N3254" s="250">
        <v>2</v>
      </c>
    </row>
    <row r="3255" spans="2:14" ht="15" customHeight="1" x14ac:dyDescent="0.2">
      <c r="B3255" s="250" t="s">
        <v>2466</v>
      </c>
      <c r="C3255" s="250" t="s">
        <v>1918</v>
      </c>
      <c r="D3255" s="252" t="s">
        <v>4027</v>
      </c>
      <c r="K3255" s="250">
        <v>0.55000000000000004</v>
      </c>
      <c r="L3255" s="250">
        <v>160</v>
      </c>
      <c r="N3255" s="250">
        <v>2</v>
      </c>
    </row>
    <row r="3256" spans="2:14" ht="15" customHeight="1" x14ac:dyDescent="0.2">
      <c r="B3256" s="250" t="s">
        <v>2467</v>
      </c>
      <c r="C3256" s="250" t="s">
        <v>1918</v>
      </c>
      <c r="D3256" s="252" t="s">
        <v>4027</v>
      </c>
      <c r="K3256" s="250">
        <v>0.55000000000000004</v>
      </c>
      <c r="L3256" s="250">
        <v>182.8</v>
      </c>
      <c r="N3256" s="250">
        <v>2</v>
      </c>
    </row>
    <row r="3257" spans="2:14" ht="15" customHeight="1" x14ac:dyDescent="0.2">
      <c r="B3257" s="250" t="s">
        <v>2468</v>
      </c>
      <c r="C3257" s="250" t="s">
        <v>1918</v>
      </c>
      <c r="D3257" s="252" t="s">
        <v>4027</v>
      </c>
      <c r="K3257" s="250">
        <v>0.55000000000000004</v>
      </c>
      <c r="L3257" s="250">
        <v>213.3</v>
      </c>
      <c r="N3257" s="250">
        <v>2</v>
      </c>
    </row>
    <row r="3258" spans="2:14" ht="15" customHeight="1" x14ac:dyDescent="0.2">
      <c r="B3258" s="250" t="s">
        <v>2469</v>
      </c>
      <c r="C3258" s="250" t="s">
        <v>1918</v>
      </c>
      <c r="D3258" s="252" t="s">
        <v>4027</v>
      </c>
      <c r="K3258" s="250">
        <v>0.55000000000000004</v>
      </c>
      <c r="L3258" s="250">
        <v>289.7</v>
      </c>
      <c r="N3258" s="250">
        <v>3</v>
      </c>
    </row>
    <row r="3259" spans="2:14" ht="15" customHeight="1" x14ac:dyDescent="0.2">
      <c r="B3259" s="250" t="s">
        <v>2470</v>
      </c>
      <c r="C3259" s="250" t="s">
        <v>1918</v>
      </c>
      <c r="D3259" s="252" t="s">
        <v>4027</v>
      </c>
      <c r="K3259" s="250">
        <v>0.55000000000000004</v>
      </c>
      <c r="L3259" s="250">
        <v>213.3</v>
      </c>
      <c r="N3259" s="250">
        <v>3</v>
      </c>
    </row>
    <row r="3260" spans="2:14" ht="15" customHeight="1" x14ac:dyDescent="0.2">
      <c r="B3260" s="250" t="s">
        <v>2471</v>
      </c>
      <c r="C3260" s="250" t="s">
        <v>1918</v>
      </c>
      <c r="D3260" s="252" t="s">
        <v>4027</v>
      </c>
      <c r="K3260" s="250">
        <v>0.55000000000000004</v>
      </c>
      <c r="L3260" s="250">
        <v>215</v>
      </c>
      <c r="N3260" s="250">
        <v>3</v>
      </c>
    </row>
    <row r="3261" spans="2:14" ht="15" customHeight="1" x14ac:dyDescent="0.2">
      <c r="B3261" s="250" t="s">
        <v>2472</v>
      </c>
      <c r="C3261" s="250" t="s">
        <v>1918</v>
      </c>
      <c r="D3261" s="252" t="s">
        <v>4027</v>
      </c>
      <c r="K3261" s="250">
        <v>0.55000000000000004</v>
      </c>
      <c r="L3261" s="250">
        <v>190.5</v>
      </c>
      <c r="N3261" s="250">
        <v>3</v>
      </c>
    </row>
    <row r="3262" spans="2:14" ht="15" customHeight="1" x14ac:dyDescent="0.2">
      <c r="B3262" s="250" t="s">
        <v>2473</v>
      </c>
      <c r="C3262" s="250" t="s">
        <v>1918</v>
      </c>
      <c r="D3262" s="252" t="s">
        <v>4027</v>
      </c>
      <c r="K3262" s="250">
        <v>0.55000000000000004</v>
      </c>
      <c r="L3262" s="250">
        <v>190.5</v>
      </c>
      <c r="N3262" s="250">
        <v>3</v>
      </c>
    </row>
    <row r="3263" spans="2:14" ht="15" customHeight="1" x14ac:dyDescent="0.2">
      <c r="B3263" s="250" t="s">
        <v>2474</v>
      </c>
      <c r="C3263" s="250" t="s">
        <v>1918</v>
      </c>
      <c r="D3263" s="252" t="s">
        <v>4027</v>
      </c>
      <c r="K3263" s="250">
        <v>0.55000000000000004</v>
      </c>
      <c r="L3263" s="250">
        <v>190.5</v>
      </c>
      <c r="N3263" s="250">
        <v>3</v>
      </c>
    </row>
    <row r="3264" spans="2:14" ht="15" customHeight="1" x14ac:dyDescent="0.2">
      <c r="B3264" s="250" t="s">
        <v>2475</v>
      </c>
      <c r="C3264" s="250" t="s">
        <v>1918</v>
      </c>
      <c r="D3264" s="252" t="s">
        <v>4027</v>
      </c>
      <c r="K3264" s="250">
        <v>0.55000000000000004</v>
      </c>
      <c r="L3264" s="250">
        <v>190.5</v>
      </c>
      <c r="N3264" s="250">
        <v>3</v>
      </c>
    </row>
    <row r="3265" spans="2:14" ht="15" customHeight="1" x14ac:dyDescent="0.2">
      <c r="B3265" s="250" t="s">
        <v>2476</v>
      </c>
      <c r="C3265" s="250" t="s">
        <v>1918</v>
      </c>
      <c r="D3265" s="252" t="s">
        <v>4027</v>
      </c>
      <c r="K3265" s="250">
        <v>0.55000000000000004</v>
      </c>
      <c r="L3265" s="250">
        <v>205.9</v>
      </c>
      <c r="N3265" s="250">
        <v>3</v>
      </c>
    </row>
    <row r="3266" spans="2:14" ht="15" customHeight="1" x14ac:dyDescent="0.2">
      <c r="B3266" s="250" t="s">
        <v>2477</v>
      </c>
      <c r="C3266" s="250" t="s">
        <v>1918</v>
      </c>
      <c r="D3266" s="252" t="s">
        <v>4027</v>
      </c>
      <c r="K3266" s="250">
        <v>0.55000000000000004</v>
      </c>
      <c r="L3266" s="250">
        <v>205.9</v>
      </c>
      <c r="N3266" s="250">
        <v>3</v>
      </c>
    </row>
    <row r="3267" spans="2:14" ht="15" customHeight="1" x14ac:dyDescent="0.2">
      <c r="B3267" s="250" t="s">
        <v>2478</v>
      </c>
      <c r="C3267" s="250" t="s">
        <v>1918</v>
      </c>
      <c r="D3267" s="252" t="s">
        <v>4027</v>
      </c>
      <c r="K3267" s="250">
        <v>0.55000000000000004</v>
      </c>
      <c r="L3267" s="250">
        <v>213.3</v>
      </c>
      <c r="N3267" s="250">
        <v>3</v>
      </c>
    </row>
    <row r="3268" spans="2:14" ht="15" customHeight="1" x14ac:dyDescent="0.2">
      <c r="B3268" s="250" t="s">
        <v>2479</v>
      </c>
      <c r="C3268" s="250" t="s">
        <v>1918</v>
      </c>
      <c r="D3268" s="252" t="s">
        <v>4027</v>
      </c>
      <c r="K3268" s="250">
        <v>0.55000000000000004</v>
      </c>
      <c r="L3268" s="250">
        <v>243.7</v>
      </c>
      <c r="N3268" s="250">
        <v>3</v>
      </c>
    </row>
    <row r="3269" spans="2:14" ht="15" customHeight="1" x14ac:dyDescent="0.2">
      <c r="B3269" s="250" t="s">
        <v>2480</v>
      </c>
      <c r="C3269" s="250" t="s">
        <v>1918</v>
      </c>
      <c r="D3269" s="252" t="s">
        <v>4027</v>
      </c>
      <c r="K3269" s="250">
        <v>0.55000000000000004</v>
      </c>
      <c r="L3269" s="250">
        <v>282.2</v>
      </c>
      <c r="N3269" s="250">
        <v>3</v>
      </c>
    </row>
    <row r="3270" spans="2:14" ht="15" customHeight="1" x14ac:dyDescent="0.2">
      <c r="B3270" s="250" t="s">
        <v>2481</v>
      </c>
      <c r="C3270" s="250" t="s">
        <v>1918</v>
      </c>
      <c r="D3270" s="252" t="s">
        <v>4027</v>
      </c>
      <c r="K3270" s="250">
        <v>0.55000000000000004</v>
      </c>
      <c r="L3270" s="250">
        <v>358.3</v>
      </c>
      <c r="N3270" s="250">
        <v>4</v>
      </c>
    </row>
    <row r="3271" spans="2:14" ht="15" customHeight="1" x14ac:dyDescent="0.2">
      <c r="B3271" s="250" t="s">
        <v>2482</v>
      </c>
      <c r="C3271" s="250" t="s">
        <v>1918</v>
      </c>
      <c r="D3271" s="252" t="s">
        <v>4027</v>
      </c>
      <c r="K3271" s="250">
        <v>0.55000000000000004</v>
      </c>
      <c r="L3271" s="250">
        <v>305</v>
      </c>
      <c r="N3271" s="250">
        <v>4</v>
      </c>
    </row>
    <row r="3272" spans="2:14" ht="15" customHeight="1" x14ac:dyDescent="0.2">
      <c r="B3272" s="250" t="s">
        <v>2483</v>
      </c>
      <c r="C3272" s="250" t="s">
        <v>1918</v>
      </c>
      <c r="D3272" s="252" t="s">
        <v>4027</v>
      </c>
      <c r="K3272" s="250">
        <v>0.55000000000000004</v>
      </c>
      <c r="L3272" s="250">
        <v>307.60000000000002</v>
      </c>
      <c r="N3272" s="250">
        <v>4</v>
      </c>
    </row>
    <row r="3273" spans="2:14" ht="15" customHeight="1" x14ac:dyDescent="0.2">
      <c r="B3273" s="250" t="s">
        <v>2484</v>
      </c>
      <c r="C3273" s="250" t="s">
        <v>1918</v>
      </c>
      <c r="D3273" s="252" t="s">
        <v>4027</v>
      </c>
      <c r="K3273" s="250">
        <v>0.55000000000000004</v>
      </c>
      <c r="L3273" s="250">
        <v>282.2</v>
      </c>
      <c r="N3273" s="250">
        <v>4</v>
      </c>
    </row>
    <row r="3274" spans="2:14" ht="15" customHeight="1" x14ac:dyDescent="0.2">
      <c r="B3274" s="250" t="s">
        <v>2485</v>
      </c>
      <c r="C3274" s="250" t="s">
        <v>1918</v>
      </c>
      <c r="D3274" s="252" t="s">
        <v>4027</v>
      </c>
      <c r="K3274" s="250">
        <v>0.55000000000000004</v>
      </c>
      <c r="L3274" s="250">
        <v>282.10000000000002</v>
      </c>
      <c r="N3274" s="250">
        <v>4</v>
      </c>
    </row>
    <row r="3275" spans="2:14" ht="15" customHeight="1" x14ac:dyDescent="0.2">
      <c r="B3275" s="250" t="s">
        <v>2486</v>
      </c>
      <c r="C3275" s="250" t="s">
        <v>1918</v>
      </c>
      <c r="D3275" s="252" t="s">
        <v>4027</v>
      </c>
      <c r="K3275" s="250">
        <v>0.55000000000000004</v>
      </c>
      <c r="L3275" s="250">
        <v>282.2</v>
      </c>
      <c r="N3275" s="250">
        <v>4</v>
      </c>
    </row>
    <row r="3276" spans="2:14" ht="15" customHeight="1" x14ac:dyDescent="0.2">
      <c r="B3276" s="250" t="s">
        <v>2487</v>
      </c>
      <c r="C3276" s="250" t="s">
        <v>1918</v>
      </c>
      <c r="D3276" s="252" t="s">
        <v>4027</v>
      </c>
      <c r="K3276" s="250">
        <v>0.55000000000000004</v>
      </c>
      <c r="L3276" s="250">
        <v>282.2</v>
      </c>
      <c r="N3276" s="250">
        <v>4</v>
      </c>
    </row>
    <row r="3277" spans="2:14" ht="15" customHeight="1" x14ac:dyDescent="0.2">
      <c r="B3277" s="250" t="s">
        <v>2488</v>
      </c>
      <c r="C3277" s="250" t="s">
        <v>1918</v>
      </c>
      <c r="D3277" s="252" t="s">
        <v>4027</v>
      </c>
      <c r="K3277" s="250">
        <v>0.55000000000000004</v>
      </c>
      <c r="L3277" s="250">
        <v>289.7</v>
      </c>
      <c r="N3277" s="250">
        <v>4</v>
      </c>
    </row>
    <row r="3278" spans="2:14" ht="15" customHeight="1" x14ac:dyDescent="0.2">
      <c r="B3278" s="250" t="s">
        <v>2489</v>
      </c>
      <c r="C3278" s="250" t="s">
        <v>1918</v>
      </c>
      <c r="D3278" s="252" t="s">
        <v>4027</v>
      </c>
      <c r="K3278" s="250">
        <v>0.55000000000000004</v>
      </c>
      <c r="L3278" s="250">
        <v>289.7</v>
      </c>
      <c r="N3278" s="250">
        <v>4</v>
      </c>
    </row>
    <row r="3279" spans="2:14" ht="15" customHeight="1" x14ac:dyDescent="0.2">
      <c r="B3279" s="250" t="s">
        <v>2490</v>
      </c>
      <c r="C3279" s="250" t="s">
        <v>1918</v>
      </c>
      <c r="D3279" s="252" t="s">
        <v>4027</v>
      </c>
      <c r="K3279" s="250">
        <v>0.55000000000000004</v>
      </c>
      <c r="L3279" s="250">
        <v>305</v>
      </c>
      <c r="N3279" s="250">
        <v>4</v>
      </c>
    </row>
    <row r="3280" spans="2:14" ht="15" customHeight="1" x14ac:dyDescent="0.2">
      <c r="B3280" s="250" t="s">
        <v>2491</v>
      </c>
      <c r="C3280" s="250" t="s">
        <v>1918</v>
      </c>
      <c r="D3280" s="252" t="s">
        <v>4027</v>
      </c>
      <c r="K3280" s="250">
        <v>0.55000000000000004</v>
      </c>
      <c r="L3280" s="250">
        <v>350.9</v>
      </c>
      <c r="N3280" s="250">
        <v>4</v>
      </c>
    </row>
    <row r="3281" spans="2:14" ht="15" customHeight="1" x14ac:dyDescent="0.2">
      <c r="B3281" s="250" t="s">
        <v>2492</v>
      </c>
      <c r="C3281" s="250" t="s">
        <v>1918</v>
      </c>
      <c r="D3281" s="252" t="s">
        <v>4027</v>
      </c>
      <c r="K3281" s="250">
        <v>0.55000000000000004</v>
      </c>
      <c r="L3281" s="250">
        <v>404.2</v>
      </c>
      <c r="N3281" s="250">
        <v>4</v>
      </c>
    </row>
    <row r="3282" spans="2:14" ht="15" customHeight="1" x14ac:dyDescent="0.2">
      <c r="B3282" s="250" t="s">
        <v>2272</v>
      </c>
      <c r="C3282" s="250" t="s">
        <v>2234</v>
      </c>
      <c r="D3282" s="252" t="s">
        <v>171</v>
      </c>
      <c r="K3282" s="250">
        <v>0.63</v>
      </c>
      <c r="L3282" s="250">
        <v>288</v>
      </c>
    </row>
    <row r="3283" spans="2:14" ht="15" customHeight="1" x14ac:dyDescent="0.2">
      <c r="B3283" s="250" t="s">
        <v>2273</v>
      </c>
      <c r="C3283" s="250" t="s">
        <v>2234</v>
      </c>
      <c r="D3283" s="252" t="s">
        <v>171</v>
      </c>
      <c r="K3283" s="250">
        <v>0.63</v>
      </c>
      <c r="L3283" s="250">
        <v>303</v>
      </c>
    </row>
    <row r="3284" spans="2:14" ht="15" customHeight="1" x14ac:dyDescent="0.2">
      <c r="B3284" s="250" t="s">
        <v>2274</v>
      </c>
      <c r="C3284" s="250" t="s">
        <v>2234</v>
      </c>
      <c r="D3284" s="252" t="s">
        <v>171</v>
      </c>
      <c r="K3284" s="250">
        <v>0.63</v>
      </c>
      <c r="L3284" s="250">
        <v>360</v>
      </c>
    </row>
    <row r="3285" spans="2:14" ht="15" customHeight="1" x14ac:dyDescent="0.2">
      <c r="B3285" s="250" t="s">
        <v>2275</v>
      </c>
      <c r="C3285" s="250" t="s">
        <v>2234</v>
      </c>
      <c r="D3285" s="252" t="s">
        <v>171</v>
      </c>
      <c r="K3285" s="250">
        <v>0.63</v>
      </c>
      <c r="L3285" s="250">
        <v>379</v>
      </c>
    </row>
    <row r="3286" spans="2:14" ht="15" customHeight="1" x14ac:dyDescent="0.2">
      <c r="B3286" s="250" t="s">
        <v>2276</v>
      </c>
      <c r="C3286" s="250" t="s">
        <v>2234</v>
      </c>
      <c r="D3286" s="252" t="s">
        <v>171</v>
      </c>
      <c r="K3286" s="250">
        <v>0.63</v>
      </c>
      <c r="L3286" s="250">
        <v>465</v>
      </c>
    </row>
    <row r="3287" spans="2:14" ht="15" customHeight="1" x14ac:dyDescent="0.2">
      <c r="B3287" s="250" t="s">
        <v>2277</v>
      </c>
      <c r="C3287" s="250" t="s">
        <v>2234</v>
      </c>
      <c r="D3287" s="252" t="s">
        <v>171</v>
      </c>
      <c r="K3287" s="250">
        <v>0.63</v>
      </c>
      <c r="L3287" s="250">
        <v>501</v>
      </c>
    </row>
    <row r="3288" spans="2:14" ht="15" customHeight="1" x14ac:dyDescent="0.2">
      <c r="B3288" s="250" t="s">
        <v>2278</v>
      </c>
      <c r="C3288" s="250" t="s">
        <v>2234</v>
      </c>
      <c r="D3288" s="252" t="s">
        <v>171</v>
      </c>
      <c r="K3288" s="250">
        <v>0.63</v>
      </c>
      <c r="L3288" s="250">
        <v>587</v>
      </c>
    </row>
    <row r="3289" spans="2:14" ht="15" customHeight="1" x14ac:dyDescent="0.2">
      <c r="B3289" s="250" t="s">
        <v>2279</v>
      </c>
      <c r="C3289" s="250" t="s">
        <v>2234</v>
      </c>
      <c r="D3289" s="252" t="s">
        <v>171</v>
      </c>
      <c r="K3289" s="250">
        <v>0.63</v>
      </c>
      <c r="L3289" s="250">
        <v>673</v>
      </c>
    </row>
    <row r="3290" spans="2:14" ht="15" customHeight="1" x14ac:dyDescent="0.2">
      <c r="B3290" s="250" t="s">
        <v>2280</v>
      </c>
      <c r="C3290" s="250" t="s">
        <v>2234</v>
      </c>
      <c r="D3290" s="252" t="s">
        <v>171</v>
      </c>
      <c r="K3290" s="250">
        <v>0.63</v>
      </c>
      <c r="L3290" s="250">
        <v>1053</v>
      </c>
    </row>
    <row r="3291" spans="2:14" ht="15" customHeight="1" x14ac:dyDescent="0.2">
      <c r="B3291" s="250" t="s">
        <v>2281</v>
      </c>
      <c r="C3291" s="250" t="s">
        <v>2234</v>
      </c>
      <c r="D3291" s="252" t="s">
        <v>171</v>
      </c>
      <c r="K3291" s="250">
        <v>0.63</v>
      </c>
      <c r="L3291" s="250">
        <v>1235</v>
      </c>
    </row>
    <row r="3292" spans="2:14" ht="15" customHeight="1" x14ac:dyDescent="0.2">
      <c r="B3292" s="250" t="s">
        <v>2282</v>
      </c>
      <c r="C3292" s="250" t="s">
        <v>2234</v>
      </c>
      <c r="D3292" s="252" t="s">
        <v>171</v>
      </c>
      <c r="K3292" s="250">
        <v>0.63</v>
      </c>
      <c r="L3292" s="250">
        <v>1488</v>
      </c>
    </row>
    <row r="3293" spans="2:14" ht="15" customHeight="1" x14ac:dyDescent="0.2">
      <c r="B3293" s="250" t="s">
        <v>2283</v>
      </c>
      <c r="C3293" s="250" t="s">
        <v>2234</v>
      </c>
      <c r="D3293" s="252" t="s">
        <v>171</v>
      </c>
      <c r="K3293" s="250">
        <v>0.63</v>
      </c>
      <c r="L3293" s="250">
        <v>1740</v>
      </c>
    </row>
    <row r="3294" spans="2:14" ht="15" customHeight="1" x14ac:dyDescent="0.2">
      <c r="B3294" s="250" t="s">
        <v>2284</v>
      </c>
      <c r="C3294" s="250" t="s">
        <v>2234</v>
      </c>
      <c r="D3294" s="252" t="s">
        <v>171</v>
      </c>
      <c r="K3294" s="250">
        <v>0.63</v>
      </c>
      <c r="L3294" s="250">
        <v>2351</v>
      </c>
    </row>
    <row r="3295" spans="2:14" ht="15" customHeight="1" x14ac:dyDescent="0.2">
      <c r="B3295" s="250" t="s">
        <v>2285</v>
      </c>
      <c r="C3295" s="250" t="s">
        <v>2234</v>
      </c>
      <c r="D3295" s="252" t="s">
        <v>171</v>
      </c>
      <c r="K3295" s="250">
        <v>0.63</v>
      </c>
      <c r="L3295" s="250">
        <v>2817</v>
      </c>
    </row>
    <row r="3296" spans="2:14" ht="15" customHeight="1" x14ac:dyDescent="0.2">
      <c r="B3296" s="250" t="s">
        <v>2286</v>
      </c>
      <c r="C3296" s="250" t="s">
        <v>2234</v>
      </c>
      <c r="D3296" s="252" t="s">
        <v>171</v>
      </c>
      <c r="K3296" s="250">
        <v>0.63</v>
      </c>
      <c r="L3296" s="250">
        <v>3758</v>
      </c>
    </row>
    <row r="3297" spans="2:12" ht="15" customHeight="1" x14ac:dyDescent="0.2">
      <c r="B3297" s="250" t="s">
        <v>2287</v>
      </c>
      <c r="C3297" s="250" t="s">
        <v>2234</v>
      </c>
      <c r="D3297" s="252" t="s">
        <v>171</v>
      </c>
      <c r="K3297" s="250">
        <v>0.63</v>
      </c>
      <c r="L3297" s="250">
        <v>4478</v>
      </c>
    </row>
    <row r="3298" spans="2:12" ht="15" customHeight="1" x14ac:dyDescent="0.2">
      <c r="B3298" s="250" t="s">
        <v>2288</v>
      </c>
      <c r="C3298" s="250" t="s">
        <v>2234</v>
      </c>
      <c r="D3298" s="252" t="s">
        <v>171</v>
      </c>
      <c r="K3298" s="250">
        <v>0.63</v>
      </c>
      <c r="L3298" s="250">
        <v>408</v>
      </c>
    </row>
    <row r="3299" spans="2:12" ht="15" customHeight="1" x14ac:dyDescent="0.2">
      <c r="B3299" s="250" t="s">
        <v>2289</v>
      </c>
      <c r="C3299" s="250" t="s">
        <v>2234</v>
      </c>
      <c r="D3299" s="252" t="s">
        <v>171</v>
      </c>
      <c r="K3299" s="250">
        <v>0.63</v>
      </c>
      <c r="L3299" s="250">
        <v>430</v>
      </c>
    </row>
    <row r="3300" spans="2:12" ht="15" customHeight="1" x14ac:dyDescent="0.2">
      <c r="B3300" s="250" t="s">
        <v>2290</v>
      </c>
      <c r="C3300" s="250" t="s">
        <v>2234</v>
      </c>
      <c r="D3300" s="252" t="s">
        <v>171</v>
      </c>
      <c r="K3300" s="250">
        <v>0.63</v>
      </c>
      <c r="L3300" s="250">
        <v>505</v>
      </c>
    </row>
    <row r="3301" spans="2:12" ht="15" customHeight="1" x14ac:dyDescent="0.2">
      <c r="B3301" s="250" t="s">
        <v>2291</v>
      </c>
      <c r="C3301" s="250" t="s">
        <v>2234</v>
      </c>
      <c r="D3301" s="252" t="s">
        <v>171</v>
      </c>
      <c r="K3301" s="250">
        <v>0.63</v>
      </c>
      <c r="L3301" s="250">
        <v>532</v>
      </c>
    </row>
    <row r="3302" spans="2:12" ht="15" customHeight="1" x14ac:dyDescent="0.2">
      <c r="B3302" s="250" t="s">
        <v>2292</v>
      </c>
      <c r="C3302" s="250" t="s">
        <v>2234</v>
      </c>
      <c r="D3302" s="252" t="s">
        <v>171</v>
      </c>
      <c r="K3302" s="250">
        <v>0.63</v>
      </c>
      <c r="L3302" s="250">
        <v>673</v>
      </c>
    </row>
    <row r="3303" spans="2:12" ht="15" customHeight="1" x14ac:dyDescent="0.2">
      <c r="B3303" s="250" t="s">
        <v>2293</v>
      </c>
      <c r="C3303" s="250" t="s">
        <v>2234</v>
      </c>
      <c r="D3303" s="252" t="s">
        <v>171</v>
      </c>
      <c r="K3303" s="250">
        <v>0.63</v>
      </c>
      <c r="L3303" s="250">
        <v>767</v>
      </c>
    </row>
    <row r="3304" spans="2:12" ht="15" customHeight="1" x14ac:dyDescent="0.2">
      <c r="B3304" s="250" t="s">
        <v>2294</v>
      </c>
      <c r="C3304" s="250" t="s">
        <v>2234</v>
      </c>
      <c r="D3304" s="252" t="s">
        <v>171</v>
      </c>
      <c r="K3304" s="250">
        <v>0.63</v>
      </c>
      <c r="L3304" s="250">
        <v>1007</v>
      </c>
    </row>
    <row r="3305" spans="2:12" ht="15" customHeight="1" x14ac:dyDescent="0.2">
      <c r="B3305" s="250" t="s">
        <v>2295</v>
      </c>
      <c r="C3305" s="250" t="s">
        <v>2234</v>
      </c>
      <c r="D3305" s="252" t="s">
        <v>171</v>
      </c>
      <c r="K3305" s="250">
        <v>0.63</v>
      </c>
      <c r="L3305" s="250">
        <v>1102</v>
      </c>
    </row>
    <row r="3306" spans="2:12" ht="15" customHeight="1" x14ac:dyDescent="0.2">
      <c r="B3306" s="250" t="s">
        <v>2296</v>
      </c>
      <c r="C3306" s="250" t="s">
        <v>2234</v>
      </c>
      <c r="D3306" s="252" t="s">
        <v>171</v>
      </c>
      <c r="K3306" s="250">
        <v>0.63</v>
      </c>
      <c r="L3306" s="250">
        <v>1623</v>
      </c>
    </row>
    <row r="3307" spans="2:12" ht="15" customHeight="1" x14ac:dyDescent="0.2">
      <c r="B3307" s="250" t="s">
        <v>2297</v>
      </c>
      <c r="C3307" s="250" t="s">
        <v>2234</v>
      </c>
      <c r="D3307" s="252" t="s">
        <v>171</v>
      </c>
      <c r="K3307" s="250">
        <v>0.63</v>
      </c>
      <c r="L3307" s="250">
        <v>1886</v>
      </c>
    </row>
    <row r="3308" spans="2:12" ht="15" customHeight="1" x14ac:dyDescent="0.2">
      <c r="B3308" s="250" t="s">
        <v>2298</v>
      </c>
      <c r="C3308" s="250" t="s">
        <v>2234</v>
      </c>
      <c r="D3308" s="252" t="s">
        <v>171</v>
      </c>
      <c r="K3308" s="250">
        <v>0.63</v>
      </c>
      <c r="L3308" s="250">
        <v>2353</v>
      </c>
    </row>
    <row r="3309" spans="2:12" ht="15" customHeight="1" x14ac:dyDescent="0.2">
      <c r="B3309" s="250" t="s">
        <v>2299</v>
      </c>
      <c r="C3309" s="250" t="s">
        <v>2234</v>
      </c>
      <c r="D3309" s="252" t="s">
        <v>171</v>
      </c>
      <c r="K3309" s="250">
        <v>0.63</v>
      </c>
      <c r="L3309" s="250">
        <v>3428</v>
      </c>
    </row>
    <row r="3310" spans="2:12" ht="15" customHeight="1" x14ac:dyDescent="0.2">
      <c r="B3310" s="250" t="s">
        <v>2300</v>
      </c>
      <c r="C3310" s="250" t="s">
        <v>2234</v>
      </c>
      <c r="D3310" s="252" t="s">
        <v>171</v>
      </c>
      <c r="K3310" s="250">
        <v>0.63</v>
      </c>
      <c r="L3310" s="250">
        <v>4325</v>
      </c>
    </row>
    <row r="3311" spans="2:12" ht="15" customHeight="1" x14ac:dyDescent="0.2">
      <c r="B3311" s="250" t="s">
        <v>2301</v>
      </c>
      <c r="C3311" s="250" t="s">
        <v>2234</v>
      </c>
      <c r="D3311" s="252" t="s">
        <v>171</v>
      </c>
      <c r="K3311" s="250">
        <v>0.63</v>
      </c>
      <c r="L3311" s="250">
        <v>669</v>
      </c>
    </row>
    <row r="3312" spans="2:12" ht="15" customHeight="1" x14ac:dyDescent="0.2">
      <c r="B3312" s="250" t="s">
        <v>2302</v>
      </c>
      <c r="C3312" s="250" t="s">
        <v>2234</v>
      </c>
      <c r="D3312" s="252" t="s">
        <v>171</v>
      </c>
      <c r="K3312" s="250">
        <v>0.63</v>
      </c>
      <c r="L3312" s="250">
        <v>703</v>
      </c>
    </row>
    <row r="3313" spans="2:12" ht="15" customHeight="1" x14ac:dyDescent="0.2">
      <c r="B3313" s="250" t="s">
        <v>2303</v>
      </c>
      <c r="C3313" s="250" t="s">
        <v>2234</v>
      </c>
      <c r="D3313" s="252" t="s">
        <v>171</v>
      </c>
      <c r="K3313" s="250">
        <v>0.63</v>
      </c>
      <c r="L3313" s="250">
        <v>741</v>
      </c>
    </row>
    <row r="3314" spans="2:12" ht="15" customHeight="1" x14ac:dyDescent="0.2">
      <c r="B3314" s="250" t="s">
        <v>2304</v>
      </c>
      <c r="C3314" s="250" t="s">
        <v>2234</v>
      </c>
      <c r="D3314" s="252" t="s">
        <v>171</v>
      </c>
      <c r="K3314" s="250">
        <v>0.63</v>
      </c>
      <c r="L3314" s="250">
        <v>780</v>
      </c>
    </row>
    <row r="3315" spans="2:12" ht="15" customHeight="1" x14ac:dyDescent="0.2">
      <c r="B3315" s="250" t="s">
        <v>2305</v>
      </c>
      <c r="C3315" s="250" t="s">
        <v>2234</v>
      </c>
      <c r="D3315" s="252" t="s">
        <v>171</v>
      </c>
      <c r="K3315" s="250">
        <v>0.63</v>
      </c>
      <c r="L3315" s="250">
        <v>980</v>
      </c>
    </row>
    <row r="3316" spans="2:12" ht="15" customHeight="1" x14ac:dyDescent="0.2">
      <c r="B3316" s="250" t="s">
        <v>2306</v>
      </c>
      <c r="C3316" s="250" t="s">
        <v>2234</v>
      </c>
      <c r="D3316" s="252" t="s">
        <v>171</v>
      </c>
      <c r="K3316" s="250">
        <v>0.63</v>
      </c>
      <c r="L3316" s="250">
        <v>1016</v>
      </c>
    </row>
    <row r="3317" spans="2:12" ht="15" customHeight="1" x14ac:dyDescent="0.2">
      <c r="B3317" s="250" t="s">
        <v>2307</v>
      </c>
      <c r="C3317" s="250" t="s">
        <v>2234</v>
      </c>
      <c r="D3317" s="252" t="s">
        <v>171</v>
      </c>
      <c r="K3317" s="250">
        <v>0.63</v>
      </c>
      <c r="L3317" s="250">
        <v>1102</v>
      </c>
    </row>
    <row r="3318" spans="2:12" ht="15" customHeight="1" x14ac:dyDescent="0.2">
      <c r="B3318" s="250" t="s">
        <v>2308</v>
      </c>
      <c r="C3318" s="250" t="s">
        <v>2234</v>
      </c>
      <c r="D3318" s="252" t="s">
        <v>171</v>
      </c>
      <c r="K3318" s="250">
        <v>0.63</v>
      </c>
      <c r="L3318" s="250">
        <v>1187</v>
      </c>
    </row>
    <row r="3319" spans="2:12" ht="15" customHeight="1" x14ac:dyDescent="0.2">
      <c r="B3319" s="250" t="s">
        <v>2309</v>
      </c>
      <c r="C3319" s="250" t="s">
        <v>2234</v>
      </c>
      <c r="D3319" s="252" t="s">
        <v>171</v>
      </c>
      <c r="K3319" s="250">
        <v>0.63</v>
      </c>
      <c r="L3319" s="250">
        <v>1568</v>
      </c>
    </row>
    <row r="3320" spans="2:12" ht="15" customHeight="1" x14ac:dyDescent="0.2">
      <c r="B3320" s="250" t="s">
        <v>2310</v>
      </c>
      <c r="C3320" s="250" t="s">
        <v>2234</v>
      </c>
      <c r="D3320" s="252" t="s">
        <v>171</v>
      </c>
      <c r="K3320" s="250">
        <v>0.63</v>
      </c>
      <c r="L3320" s="250">
        <v>1749</v>
      </c>
    </row>
    <row r="3321" spans="2:12" ht="15" customHeight="1" x14ac:dyDescent="0.2">
      <c r="B3321" s="250" t="s">
        <v>2311</v>
      </c>
      <c r="C3321" s="250" t="s">
        <v>2234</v>
      </c>
      <c r="D3321" s="252" t="s">
        <v>171</v>
      </c>
      <c r="K3321" s="250">
        <v>0.63</v>
      </c>
      <c r="L3321" s="250">
        <v>2002</v>
      </c>
    </row>
    <row r="3322" spans="2:12" ht="15" customHeight="1" x14ac:dyDescent="0.2">
      <c r="B3322" s="250" t="s">
        <v>2312</v>
      </c>
      <c r="C3322" s="250" t="s">
        <v>2234</v>
      </c>
      <c r="D3322" s="252" t="s">
        <v>171</v>
      </c>
      <c r="K3322" s="250">
        <v>0.63</v>
      </c>
      <c r="L3322" s="250">
        <v>2254</v>
      </c>
    </row>
    <row r="3323" spans="2:12" ht="15" customHeight="1" x14ac:dyDescent="0.2">
      <c r="B3323" s="250" t="s">
        <v>2313</v>
      </c>
      <c r="C3323" s="250" t="s">
        <v>2234</v>
      </c>
      <c r="D3323" s="252" t="s">
        <v>171</v>
      </c>
      <c r="K3323" s="250">
        <v>0.63</v>
      </c>
      <c r="L3323" s="250">
        <v>2866</v>
      </c>
    </row>
    <row r="3324" spans="2:12" ht="15" customHeight="1" x14ac:dyDescent="0.2">
      <c r="B3324" s="250" t="s">
        <v>4028</v>
      </c>
      <c r="C3324" s="250" t="s">
        <v>2234</v>
      </c>
      <c r="D3324" s="252" t="s">
        <v>171</v>
      </c>
      <c r="K3324" s="250">
        <v>0.63</v>
      </c>
      <c r="L3324" s="250">
        <v>3332</v>
      </c>
    </row>
    <row r="3325" spans="2:12" ht="15" customHeight="1" x14ac:dyDescent="0.2">
      <c r="B3325" s="250" t="s">
        <v>2314</v>
      </c>
      <c r="C3325" s="250" t="s">
        <v>2234</v>
      </c>
      <c r="D3325" s="252" t="s">
        <v>171</v>
      </c>
      <c r="K3325" s="250">
        <v>0.63</v>
      </c>
      <c r="L3325" s="250">
        <v>4274</v>
      </c>
    </row>
    <row r="3326" spans="2:12" ht="15" customHeight="1" x14ac:dyDescent="0.2">
      <c r="B3326" s="250" t="s">
        <v>2315</v>
      </c>
      <c r="C3326" s="250" t="s">
        <v>2234</v>
      </c>
      <c r="D3326" s="252" t="s">
        <v>171</v>
      </c>
      <c r="K3326" s="250">
        <v>0.63</v>
      </c>
      <c r="L3326" s="250">
        <v>4992</v>
      </c>
    </row>
    <row r="3327" spans="2:12" ht="15" customHeight="1" x14ac:dyDescent="0.2">
      <c r="B3327" s="250" t="s">
        <v>2493</v>
      </c>
      <c r="C3327" s="250" t="s">
        <v>2234</v>
      </c>
      <c r="D3327" s="252" t="s">
        <v>2233</v>
      </c>
      <c r="K3327" s="250">
        <v>0.63</v>
      </c>
      <c r="L3327" s="250">
        <v>1542.83</v>
      </c>
    </row>
    <row r="3328" spans="2:12" ht="15" customHeight="1" x14ac:dyDescent="0.2">
      <c r="B3328" s="250" t="s">
        <v>2494</v>
      </c>
      <c r="C3328" s="250" t="s">
        <v>2234</v>
      </c>
      <c r="D3328" s="252" t="s">
        <v>2233</v>
      </c>
      <c r="K3328" s="250">
        <v>0.63</v>
      </c>
      <c r="L3328" s="250">
        <v>1580.73</v>
      </c>
    </row>
    <row r="3329" spans="2:12" ht="15" customHeight="1" x14ac:dyDescent="0.2">
      <c r="B3329" s="250" t="s">
        <v>2495</v>
      </c>
      <c r="C3329" s="250" t="s">
        <v>2234</v>
      </c>
      <c r="D3329" s="252" t="s">
        <v>2233</v>
      </c>
      <c r="K3329" s="250">
        <v>0.63</v>
      </c>
      <c r="L3329" s="250">
        <v>1860.36</v>
      </c>
    </row>
    <row r="3330" spans="2:12" ht="15" customHeight="1" x14ac:dyDescent="0.2">
      <c r="B3330" s="250" t="s">
        <v>2496</v>
      </c>
      <c r="C3330" s="250" t="s">
        <v>2234</v>
      </c>
      <c r="D3330" s="252" t="s">
        <v>2233</v>
      </c>
      <c r="K3330" s="250">
        <v>0.63</v>
      </c>
      <c r="L3330" s="250">
        <v>2699.51</v>
      </c>
    </row>
    <row r="3331" spans="2:12" ht="15" customHeight="1" x14ac:dyDescent="0.2">
      <c r="B3331" s="250" t="s">
        <v>2497</v>
      </c>
      <c r="C3331" s="250" t="s">
        <v>2234</v>
      </c>
      <c r="D3331" s="252" t="s">
        <v>2233</v>
      </c>
      <c r="K3331" s="250">
        <v>0.63</v>
      </c>
      <c r="L3331" s="250">
        <v>3555.57</v>
      </c>
    </row>
    <row r="3332" spans="2:12" ht="15" customHeight="1" x14ac:dyDescent="0.2">
      <c r="B3332" s="250" t="s">
        <v>2498</v>
      </c>
      <c r="C3332" s="250" t="s">
        <v>2234</v>
      </c>
      <c r="D3332" s="252" t="s">
        <v>2233</v>
      </c>
      <c r="K3332" s="250">
        <v>0.63</v>
      </c>
      <c r="L3332" s="250">
        <v>4480.0200000000004</v>
      </c>
    </row>
    <row r="3333" spans="2:12" ht="15" customHeight="1" x14ac:dyDescent="0.2">
      <c r="B3333" s="250" t="s">
        <v>2499</v>
      </c>
      <c r="C3333" s="250" t="s">
        <v>2234</v>
      </c>
      <c r="D3333" s="252" t="s">
        <v>2233</v>
      </c>
      <c r="K3333" s="250">
        <v>0.63</v>
      </c>
      <c r="L3333" s="250">
        <v>6037.86</v>
      </c>
    </row>
  </sheetData>
  <autoFilter ref="A1:M1"/>
  <sortState ref="A3310:M3342">
    <sortCondition ref="C3310:C3342"/>
    <sortCondition ref="B3310:B3342"/>
  </sortState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2"/>
  <dimension ref="A1:T69"/>
  <sheetViews>
    <sheetView workbookViewId="0">
      <pane ySplit="1" topLeftCell="A2" activePane="bottomLeft" state="frozen"/>
      <selection activeCell="C27" sqref="C27"/>
      <selection pane="bottomLeft" activeCell="C23" sqref="C23"/>
    </sheetView>
  </sheetViews>
  <sheetFormatPr defaultColWidth="7" defaultRowHeight="12" x14ac:dyDescent="0.2"/>
  <cols>
    <col min="1" max="1" width="3.625" style="202" customWidth="1"/>
    <col min="2" max="2" width="14.125" style="208" customWidth="1"/>
    <col min="3" max="3" width="21.625" style="210" customWidth="1"/>
    <col min="4" max="4" width="11.625" style="211" customWidth="1"/>
    <col min="5" max="6" width="4.125" style="211" customWidth="1"/>
    <col min="7" max="8" width="9.625" style="212" customWidth="1"/>
    <col min="9" max="9" width="14.625" style="213" customWidth="1"/>
    <col min="10" max="10" width="4.625" style="202" customWidth="1"/>
    <col min="11" max="11" width="8.125" style="212" customWidth="1"/>
    <col min="12" max="12" width="5.125" style="212" customWidth="1"/>
    <col min="13" max="13" width="8.125" style="212" customWidth="1"/>
    <col min="14" max="14" width="3.625" style="206" customWidth="1"/>
    <col min="15" max="15" width="4.625" style="206" customWidth="1"/>
    <col min="16" max="17" width="4.625" style="217" customWidth="1"/>
    <col min="18" max="23" width="4.625" style="214" customWidth="1"/>
    <col min="24" max="16384" width="7" style="214"/>
  </cols>
  <sheetData>
    <row r="1" spans="1:20" s="157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1.1200000000000001</v>
      </c>
      <c r="Q1" s="335" t="s">
        <v>2342</v>
      </c>
      <c r="R1" s="336">
        <v>0.06</v>
      </c>
      <c r="S1" s="336" t="s">
        <v>80</v>
      </c>
      <c r="T1" s="336">
        <v>0</v>
      </c>
    </row>
    <row r="2" spans="1:20" ht="16.5" customHeight="1" x14ac:dyDescent="0.15">
      <c r="A2" s="32">
        <f>COUNTIF($J$1:J2,"!")</f>
        <v>1</v>
      </c>
      <c r="B2" s="33" t="s">
        <v>2727</v>
      </c>
      <c r="C2" s="341" t="s">
        <v>2728</v>
      </c>
      <c r="D2" s="215"/>
      <c r="E2" s="34" t="s">
        <v>23</v>
      </c>
      <c r="F2" s="215">
        <v>1</v>
      </c>
      <c r="G2" s="36">
        <f>ROUND(SUMIF(A3:A30,A2,H3:H30),0)</f>
        <v>75605</v>
      </c>
      <c r="H2" s="216" t="str">
        <f>IF(ISNUMBER(FIND(" ",C3)),MID(C3,1,FIND(" ",C3)-1),IF(ISNUMBER(FIND("电容柜",B2)),"GGJ",MID(C3,1,FIND("-",C3)-1)))</f>
        <v>KYN61</v>
      </c>
      <c r="I2" s="47" t="str">
        <f>MID(C3,IF(LEN(C3)-LEN(H2)&gt;3,LEN(H2)+2,1),30)</f>
        <v>1400*3200*2600</v>
      </c>
      <c r="J2" s="48" t="s">
        <v>24</v>
      </c>
      <c r="K2" s="49"/>
      <c r="L2" s="50"/>
      <c r="M2" s="51"/>
      <c r="O2" s="214"/>
      <c r="P2" s="218"/>
      <c r="Q2" s="218"/>
      <c r="R2" s="218"/>
      <c r="S2" s="218"/>
      <c r="T2" s="218"/>
    </row>
    <row r="3" spans="1:20" ht="16.5" customHeight="1" x14ac:dyDescent="0.2">
      <c r="A3" s="38">
        <f>COUNTIF($J$1:J3,"!")</f>
        <v>1</v>
      </c>
      <c r="B3" s="204" t="s">
        <v>25</v>
      </c>
      <c r="C3" s="342" t="s">
        <v>81</v>
      </c>
      <c r="D3" s="203" t="s">
        <v>3242</v>
      </c>
      <c r="E3" s="196" t="s">
        <v>23</v>
      </c>
      <c r="F3" s="196">
        <v>1</v>
      </c>
      <c r="G3" s="42">
        <f t="shared" ref="G3:G24" si="0">IFERROR(J3*K3,"")</f>
        <v>17360</v>
      </c>
      <c r="H3" s="42">
        <f t="shared" ref="H3:H24" si="1">IFERROR(G3*F3,"")</f>
        <v>17360</v>
      </c>
      <c r="I3" s="197"/>
      <c r="J3" s="198">
        <f t="shared" ref="J3:J24" si="2">P$1</f>
        <v>1.1200000000000001</v>
      </c>
      <c r="K3" s="199">
        <f t="shared" ref="K3:K24" si="3">IFERROR(M3*L3,"")</f>
        <v>15500</v>
      </c>
      <c r="L3" s="200">
        <f>IFERROR(VLOOKUP(C3,元件库!$B:$O,10,FALSE),"1.00")</f>
        <v>1</v>
      </c>
      <c r="M3" s="201">
        <v>15500</v>
      </c>
      <c r="N3" s="205" t="str">
        <f t="shared" ref="N3:N24" ca="1" si="4">IF(AND(ISNUMBER(FIND("IF",_xlfn.FORMULATEXT(L3))),ISNUMBER(FIND("IF",_xlfn.FORMULATEXT(M3)))),"","值")</f>
        <v>值</v>
      </c>
      <c r="O3" s="214"/>
      <c r="P3" s="218"/>
      <c r="Q3" s="218"/>
      <c r="R3" s="218"/>
      <c r="S3" s="218"/>
      <c r="T3" s="218"/>
    </row>
    <row r="4" spans="1:20" s="343" customFormat="1" ht="16.5" customHeight="1" x14ac:dyDescent="0.2">
      <c r="A4" s="38">
        <f>COUNTIF($J$1:J4,"!")</f>
        <v>1</v>
      </c>
      <c r="B4" s="204" t="s">
        <v>2729</v>
      </c>
      <c r="C4" s="342" t="s">
        <v>2730</v>
      </c>
      <c r="D4" s="203" t="s">
        <v>3242</v>
      </c>
      <c r="E4" s="196" t="s">
        <v>29</v>
      </c>
      <c r="F4" s="196">
        <v>1</v>
      </c>
      <c r="G4" s="42">
        <f t="shared" si="0"/>
        <v>13440.000000000002</v>
      </c>
      <c r="H4" s="42">
        <f t="shared" si="1"/>
        <v>13440.000000000002</v>
      </c>
      <c r="I4" s="197"/>
      <c r="J4" s="198">
        <f t="shared" si="2"/>
        <v>1.1200000000000001</v>
      </c>
      <c r="K4" s="199">
        <f t="shared" si="3"/>
        <v>12000</v>
      </c>
      <c r="L4" s="200">
        <v>1</v>
      </c>
      <c r="M4" s="201">
        <v>12000</v>
      </c>
      <c r="N4" s="205" t="str">
        <f t="shared" ca="1" si="4"/>
        <v>值</v>
      </c>
      <c r="O4" s="214"/>
      <c r="P4" s="218"/>
      <c r="Q4" s="218"/>
      <c r="R4" s="218"/>
      <c r="S4" s="218"/>
      <c r="T4" s="218"/>
    </row>
    <row r="5" spans="1:20" s="343" customFormat="1" ht="16.5" customHeight="1" x14ac:dyDescent="0.2">
      <c r="A5" s="38">
        <f>COUNTIF($J$1:J5,"!")</f>
        <v>1</v>
      </c>
      <c r="B5" s="68" t="s">
        <v>2731</v>
      </c>
      <c r="C5" s="64" t="s">
        <v>2732</v>
      </c>
      <c r="D5" s="155" t="s">
        <v>2733</v>
      </c>
      <c r="E5" s="65" t="s">
        <v>29</v>
      </c>
      <c r="F5" s="65">
        <v>1</v>
      </c>
      <c r="G5" s="42">
        <f t="shared" si="0"/>
        <v>2688.0000000000005</v>
      </c>
      <c r="H5" s="42">
        <f t="shared" si="1"/>
        <v>2688.0000000000005</v>
      </c>
      <c r="I5" s="72"/>
      <c r="J5" s="198">
        <f t="shared" si="2"/>
        <v>1.1200000000000001</v>
      </c>
      <c r="K5" s="81">
        <f t="shared" si="3"/>
        <v>2400</v>
      </c>
      <c r="L5" s="200" t="str">
        <f>IFERROR(VLOOKUP(C5,元件库!$B:$O,10,FALSE),"1.00")</f>
        <v>1.00</v>
      </c>
      <c r="M5" s="201">
        <v>2400</v>
      </c>
      <c r="N5" s="205" t="str">
        <f t="shared" ca="1" si="4"/>
        <v>值</v>
      </c>
      <c r="O5" s="214"/>
      <c r="P5" s="218"/>
      <c r="Q5" s="218"/>
      <c r="R5" s="218"/>
      <c r="S5" s="218"/>
      <c r="T5" s="218"/>
    </row>
    <row r="6" spans="1:20" s="343" customFormat="1" ht="16.5" customHeight="1" x14ac:dyDescent="0.2">
      <c r="A6" s="38">
        <f>COUNTIF($J$1:J6,"!")</f>
        <v>1</v>
      </c>
      <c r="B6" s="68" t="s">
        <v>2734</v>
      </c>
      <c r="C6" s="64" t="s">
        <v>2735</v>
      </c>
      <c r="D6" s="155" t="s">
        <v>1552</v>
      </c>
      <c r="E6" s="65" t="s">
        <v>29</v>
      </c>
      <c r="F6" s="65">
        <v>3</v>
      </c>
      <c r="G6" s="42">
        <f t="shared" si="0"/>
        <v>73.360000000000014</v>
      </c>
      <c r="H6" s="42">
        <f t="shared" si="1"/>
        <v>220.08000000000004</v>
      </c>
      <c r="I6" s="72"/>
      <c r="J6" s="198">
        <f t="shared" si="2"/>
        <v>1.1200000000000001</v>
      </c>
      <c r="K6" s="81">
        <f t="shared" si="3"/>
        <v>65.5</v>
      </c>
      <c r="L6" s="200">
        <v>0.5</v>
      </c>
      <c r="M6" s="201">
        <v>131</v>
      </c>
      <c r="N6" s="205" t="str">
        <f t="shared" ca="1" si="4"/>
        <v>值</v>
      </c>
      <c r="O6" s="214"/>
      <c r="P6" s="218"/>
      <c r="Q6" s="218"/>
      <c r="R6" s="218"/>
      <c r="S6" s="218"/>
      <c r="T6" s="218"/>
    </row>
    <row r="7" spans="1:20" s="343" customFormat="1" ht="16.5" customHeight="1" x14ac:dyDescent="0.2">
      <c r="A7" s="38">
        <f>COUNTIF($J$1:J7,"!")</f>
        <v>1</v>
      </c>
      <c r="B7" s="68" t="s">
        <v>111</v>
      </c>
      <c r="C7" s="64" t="s">
        <v>2736</v>
      </c>
      <c r="D7" s="155" t="s">
        <v>2737</v>
      </c>
      <c r="E7" s="65" t="s">
        <v>29</v>
      </c>
      <c r="F7" s="65">
        <v>2</v>
      </c>
      <c r="G7" s="42">
        <f t="shared" si="0"/>
        <v>4065.6000000000008</v>
      </c>
      <c r="H7" s="42">
        <f t="shared" si="1"/>
        <v>8131.2000000000016</v>
      </c>
      <c r="I7" s="72"/>
      <c r="J7" s="198">
        <f t="shared" si="2"/>
        <v>1.1200000000000001</v>
      </c>
      <c r="K7" s="81">
        <f t="shared" si="3"/>
        <v>3630.0000000000005</v>
      </c>
      <c r="L7" s="200">
        <v>0.55000000000000004</v>
      </c>
      <c r="M7" s="201">
        <v>6600</v>
      </c>
      <c r="N7" s="205" t="str">
        <f t="shared" ca="1" si="4"/>
        <v>值</v>
      </c>
      <c r="O7" s="214"/>
      <c r="P7" s="218"/>
      <c r="Q7" s="218"/>
      <c r="R7" s="218"/>
      <c r="S7" s="218"/>
      <c r="T7" s="218"/>
    </row>
    <row r="8" spans="1:20" s="343" customFormat="1" ht="16.5" customHeight="1" x14ac:dyDescent="0.2">
      <c r="A8" s="38">
        <f>COUNTIF($J$1:J8,"!")</f>
        <v>1</v>
      </c>
      <c r="B8" s="68" t="s">
        <v>2731</v>
      </c>
      <c r="C8" s="64" t="s">
        <v>2738</v>
      </c>
      <c r="D8" s="155" t="s">
        <v>2739</v>
      </c>
      <c r="E8" s="65" t="s">
        <v>29</v>
      </c>
      <c r="F8" s="65">
        <v>2</v>
      </c>
      <c r="G8" s="42">
        <f t="shared" si="0"/>
        <v>1478.4</v>
      </c>
      <c r="H8" s="42">
        <f t="shared" si="1"/>
        <v>2956.8</v>
      </c>
      <c r="I8" s="72"/>
      <c r="J8" s="198">
        <f t="shared" si="2"/>
        <v>1.1200000000000001</v>
      </c>
      <c r="K8" s="81">
        <f t="shared" si="3"/>
        <v>1320</v>
      </c>
      <c r="L8" s="200">
        <f>IFERROR(VLOOKUP(C8,元件库!$B:$O,10,FALSE),"1.00")</f>
        <v>0.55000000000000004</v>
      </c>
      <c r="M8" s="201">
        <v>2400</v>
      </c>
      <c r="N8" s="205" t="str">
        <f t="shared" ca="1" si="4"/>
        <v>值</v>
      </c>
      <c r="O8" s="214"/>
      <c r="P8" s="218"/>
      <c r="Q8" s="218"/>
      <c r="R8" s="218"/>
      <c r="S8" s="218"/>
      <c r="T8" s="218"/>
    </row>
    <row r="9" spans="1:20" s="343" customFormat="1" ht="16.5" customHeight="1" x14ac:dyDescent="0.2">
      <c r="A9" s="38">
        <f>COUNTIF($J$1:J9,"!")</f>
        <v>1</v>
      </c>
      <c r="B9" s="68" t="str">
        <f>IFERROR(VLOOKUP(C9,元件库!$B:$O,3,FALSE),"")</f>
        <v>静触头</v>
      </c>
      <c r="C9" s="64" t="s">
        <v>169</v>
      </c>
      <c r="D9" s="155" t="str">
        <f>IFERROR(VLOOKUP(C9,元件库!$B:$O,2,FALSE),"")</f>
        <v>福一开</v>
      </c>
      <c r="E9" s="65" t="s">
        <v>29</v>
      </c>
      <c r="F9" s="65">
        <v>6</v>
      </c>
      <c r="G9" s="42">
        <f t="shared" si="0"/>
        <v>47.040000000000006</v>
      </c>
      <c r="H9" s="42">
        <f t="shared" si="1"/>
        <v>282.24</v>
      </c>
      <c r="I9" s="72"/>
      <c r="J9" s="198">
        <f t="shared" si="2"/>
        <v>1.1200000000000001</v>
      </c>
      <c r="K9" s="81">
        <f t="shared" si="3"/>
        <v>42</v>
      </c>
      <c r="L9" s="200">
        <f>IFERROR(VLOOKUP(C9,元件库!$B:$O,10,FALSE),"1.00")</f>
        <v>1</v>
      </c>
      <c r="M9" s="201">
        <f>IFERROR(VLOOKUP(C9,元件库!$B:$O,11,FALSE),"")</f>
        <v>42</v>
      </c>
      <c r="N9" s="205" t="str">
        <f t="shared" ca="1" si="4"/>
        <v/>
      </c>
      <c r="O9" s="214"/>
      <c r="P9" s="218"/>
      <c r="Q9" s="218"/>
      <c r="R9" s="218"/>
      <c r="S9" s="218"/>
      <c r="T9" s="218"/>
    </row>
    <row r="10" spans="1:20" s="343" customFormat="1" ht="16.5" customHeight="1" x14ac:dyDescent="0.2">
      <c r="A10" s="38">
        <f>COUNTIF($J$1:J10,"!")</f>
        <v>1</v>
      </c>
      <c r="B10" s="68" t="s">
        <v>89</v>
      </c>
      <c r="C10" s="64" t="s">
        <v>2740</v>
      </c>
      <c r="D10" s="155" t="s">
        <v>88</v>
      </c>
      <c r="E10" s="65" t="s">
        <v>29</v>
      </c>
      <c r="F10" s="65">
        <v>6</v>
      </c>
      <c r="G10" s="42">
        <f t="shared" si="0"/>
        <v>896.00000000000011</v>
      </c>
      <c r="H10" s="42">
        <f t="shared" si="1"/>
        <v>5376.0000000000009</v>
      </c>
      <c r="I10" s="72"/>
      <c r="J10" s="198">
        <f t="shared" si="2"/>
        <v>1.1200000000000001</v>
      </c>
      <c r="K10" s="81">
        <f t="shared" si="3"/>
        <v>800</v>
      </c>
      <c r="L10" s="200" t="str">
        <f>IFERROR(VLOOKUP(C10,元件库!$B:$O,10,FALSE),"1.00")</f>
        <v>1.00</v>
      </c>
      <c r="M10" s="201">
        <v>800</v>
      </c>
      <c r="N10" s="205" t="str">
        <f t="shared" ca="1" si="4"/>
        <v>值</v>
      </c>
      <c r="O10" s="214"/>
      <c r="P10" s="218"/>
      <c r="Q10" s="218"/>
      <c r="R10" s="218"/>
      <c r="S10" s="218"/>
      <c r="T10" s="218"/>
    </row>
    <row r="11" spans="1:20" s="343" customFormat="1" ht="16.5" customHeight="1" x14ac:dyDescent="0.2">
      <c r="A11" s="38">
        <f>COUNTIF($J$1:J11,"!")</f>
        <v>1</v>
      </c>
      <c r="B11" s="68" t="s">
        <v>91</v>
      </c>
      <c r="C11" s="64" t="s">
        <v>92</v>
      </c>
      <c r="D11" s="155" t="s">
        <v>88</v>
      </c>
      <c r="E11" s="65" t="s">
        <v>29</v>
      </c>
      <c r="F11" s="65">
        <v>3</v>
      </c>
      <c r="G11" s="42">
        <f t="shared" si="0"/>
        <v>537.6</v>
      </c>
      <c r="H11" s="42">
        <f t="shared" si="1"/>
        <v>1612.8000000000002</v>
      </c>
      <c r="I11" s="72"/>
      <c r="J11" s="198">
        <f t="shared" si="2"/>
        <v>1.1200000000000001</v>
      </c>
      <c r="K11" s="81">
        <f t="shared" si="3"/>
        <v>480</v>
      </c>
      <c r="L11" s="200" t="str">
        <f>IFERROR(VLOOKUP(C11,元件库!$B:$O,10,FALSE),"1.00")</f>
        <v>1.00</v>
      </c>
      <c r="M11" s="201">
        <v>480</v>
      </c>
      <c r="N11" s="205" t="str">
        <f t="shared" ca="1" si="4"/>
        <v>值</v>
      </c>
      <c r="O11" s="305"/>
      <c r="P11" s="218"/>
      <c r="Q11" s="218"/>
      <c r="R11" s="218"/>
      <c r="S11" s="218"/>
      <c r="T11" s="218"/>
    </row>
    <row r="12" spans="1:20" s="343" customFormat="1" ht="16.5" customHeight="1" x14ac:dyDescent="0.2">
      <c r="A12" s="38">
        <f>COUNTIF($J$1:J12,"!")</f>
        <v>1</v>
      </c>
      <c r="B12" s="68" t="s">
        <v>93</v>
      </c>
      <c r="C12" s="64" t="s">
        <v>94</v>
      </c>
      <c r="D12" s="155" t="s">
        <v>88</v>
      </c>
      <c r="E12" s="65" t="s">
        <v>29</v>
      </c>
      <c r="F12" s="65">
        <v>3</v>
      </c>
      <c r="G12" s="42">
        <f t="shared" si="0"/>
        <v>134.4</v>
      </c>
      <c r="H12" s="42">
        <f t="shared" si="1"/>
        <v>403.20000000000005</v>
      </c>
      <c r="I12" s="72"/>
      <c r="J12" s="198">
        <f t="shared" si="2"/>
        <v>1.1200000000000001</v>
      </c>
      <c r="K12" s="81">
        <f t="shared" si="3"/>
        <v>120</v>
      </c>
      <c r="L12" s="200" t="str">
        <f>IFERROR(VLOOKUP(C12,元件库!$B:$O,10,FALSE),"1.00")</f>
        <v>1.00</v>
      </c>
      <c r="M12" s="201">
        <v>120</v>
      </c>
      <c r="N12" s="205" t="str">
        <f t="shared" ca="1" si="4"/>
        <v>值</v>
      </c>
      <c r="O12" s="305"/>
      <c r="P12" s="218"/>
      <c r="Q12" s="218"/>
      <c r="R12" s="218"/>
      <c r="S12" s="218"/>
      <c r="T12" s="218"/>
    </row>
    <row r="13" spans="1:20" s="218" customFormat="1" ht="16.5" customHeight="1" x14ac:dyDescent="0.2">
      <c r="A13" s="38">
        <f>COUNTIF($J$1:J13,"!")</f>
        <v>1</v>
      </c>
      <c r="B13" s="204" t="s">
        <v>95</v>
      </c>
      <c r="C13" s="195" t="s">
        <v>96</v>
      </c>
      <c r="D13" s="203" t="s">
        <v>88</v>
      </c>
      <c r="E13" s="196" t="str">
        <f>IF(D13="欣利铜材","米",IF(B13="氧化锌避雷器","组","只"))</f>
        <v>只</v>
      </c>
      <c r="F13" s="196">
        <v>1</v>
      </c>
      <c r="G13" s="42">
        <f t="shared" si="0"/>
        <v>470.40000000000003</v>
      </c>
      <c r="H13" s="42">
        <f t="shared" si="1"/>
        <v>470.40000000000003</v>
      </c>
      <c r="I13" s="197"/>
      <c r="J13" s="198">
        <f t="shared" si="2"/>
        <v>1.1200000000000001</v>
      </c>
      <c r="K13" s="199">
        <f t="shared" si="3"/>
        <v>420</v>
      </c>
      <c r="L13" s="200" t="str">
        <f>IFERROR(VLOOKUP(C13,元件库!$B:$O,10,FALSE),"1.00")</f>
        <v>1.00</v>
      </c>
      <c r="M13" s="201">
        <v>420</v>
      </c>
      <c r="N13" s="205" t="str">
        <f t="shared" ca="1" si="4"/>
        <v>值</v>
      </c>
      <c r="O13" s="305"/>
    </row>
    <row r="14" spans="1:20" s="218" customFormat="1" ht="16.5" customHeight="1" x14ac:dyDescent="0.2">
      <c r="A14" s="38">
        <f>COUNTIF($J$1:J14,"!")</f>
        <v>1</v>
      </c>
      <c r="B14" s="204" t="s">
        <v>2741</v>
      </c>
      <c r="C14" s="195" t="s">
        <v>2742</v>
      </c>
      <c r="D14" s="203" t="s">
        <v>2743</v>
      </c>
      <c r="E14" s="196" t="str">
        <f>IF(D14="欣利铜材","米",IF(B14="氧化锌避雷器","组","只"))</f>
        <v>只</v>
      </c>
      <c r="F14" s="196">
        <v>1</v>
      </c>
      <c r="G14" s="42">
        <f t="shared" si="0"/>
        <v>31.360000000000003</v>
      </c>
      <c r="H14" s="42">
        <f t="shared" si="1"/>
        <v>31.360000000000003</v>
      </c>
      <c r="I14" s="197"/>
      <c r="J14" s="198">
        <f t="shared" si="2"/>
        <v>1.1200000000000001</v>
      </c>
      <c r="K14" s="199">
        <f t="shared" si="3"/>
        <v>28</v>
      </c>
      <c r="L14" s="200" t="str">
        <f>IFERROR(VLOOKUP(C14,元件库!$B:$O,10,FALSE),"1.00")</f>
        <v>1.00</v>
      </c>
      <c r="M14" s="201">
        <v>28</v>
      </c>
      <c r="N14" s="205" t="str">
        <f t="shared" ca="1" si="4"/>
        <v>值</v>
      </c>
      <c r="O14" s="214"/>
    </row>
    <row r="15" spans="1:20" s="343" customFormat="1" ht="16.5" customHeight="1" x14ac:dyDescent="0.2">
      <c r="A15" s="38">
        <f>COUNTIF($J$1:J15,"!")</f>
        <v>1</v>
      </c>
      <c r="B15" s="68" t="str">
        <f>IFERROR(VLOOKUP(C15,元件库!$B:$O,3,FALSE),"")</f>
        <v>电磁锁</v>
      </c>
      <c r="C15" s="64" t="s">
        <v>98</v>
      </c>
      <c r="D15" s="155" t="str">
        <f>IFERROR(VLOOKUP(C15,元件库!$B:$O,2,FALSE),"")</f>
        <v>哈陆拉</v>
      </c>
      <c r="E15" s="65" t="s">
        <v>29</v>
      </c>
      <c r="F15" s="65">
        <v>1</v>
      </c>
      <c r="G15" s="42">
        <f t="shared" si="0"/>
        <v>61.600000000000009</v>
      </c>
      <c r="H15" s="42">
        <f t="shared" si="1"/>
        <v>61.600000000000009</v>
      </c>
      <c r="I15" s="72"/>
      <c r="J15" s="198">
        <f t="shared" si="2"/>
        <v>1.1200000000000001</v>
      </c>
      <c r="K15" s="81">
        <f t="shared" si="3"/>
        <v>55</v>
      </c>
      <c r="L15" s="200">
        <f>IFERROR(VLOOKUP(C15,元件库!$B:$O,10,FALSE),"1.00")</f>
        <v>1</v>
      </c>
      <c r="M15" s="201">
        <f>IFERROR(VLOOKUP(C15,元件库!$B:$O,11,FALSE),"")</f>
        <v>55</v>
      </c>
      <c r="N15" s="205" t="str">
        <f t="shared" ca="1" si="4"/>
        <v/>
      </c>
      <c r="O15" s="305"/>
      <c r="P15" s="217"/>
      <c r="Q15" s="217"/>
      <c r="R15" s="214"/>
      <c r="S15" s="214"/>
      <c r="T15" s="214"/>
    </row>
    <row r="16" spans="1:20" s="343" customFormat="1" ht="16.5" customHeight="1" x14ac:dyDescent="0.2">
      <c r="A16" s="38">
        <f>COUNTIF($J$1:J16,"!")</f>
        <v>1</v>
      </c>
      <c r="B16" s="68" t="str">
        <f>IFERROR(VLOOKUP(C16,元件库!$B:$O,3,FALSE),"")</f>
        <v>温湿度控制器</v>
      </c>
      <c r="C16" s="64" t="s">
        <v>2744</v>
      </c>
      <c r="D16" s="155" t="str">
        <f>IFERROR(VLOOKUP(C16,元件库!$B:$O,2,FALSE),"")</f>
        <v>实德电气</v>
      </c>
      <c r="E16" s="65" t="s">
        <v>29</v>
      </c>
      <c r="F16" s="65">
        <v>1</v>
      </c>
      <c r="G16" s="42">
        <f t="shared" si="0"/>
        <v>123.20000000000002</v>
      </c>
      <c r="H16" s="42">
        <f t="shared" si="1"/>
        <v>123.20000000000002</v>
      </c>
      <c r="I16" s="72"/>
      <c r="J16" s="198">
        <f t="shared" si="2"/>
        <v>1.1200000000000001</v>
      </c>
      <c r="K16" s="81">
        <f t="shared" si="3"/>
        <v>110</v>
      </c>
      <c r="L16" s="200">
        <f>IFERROR(VLOOKUP(C16,元件库!$B:$O,10,FALSE),"1.00")</f>
        <v>1</v>
      </c>
      <c r="M16" s="201">
        <f>IFERROR(VLOOKUP(C16,元件库!$B:$O,11,FALSE),"")</f>
        <v>110</v>
      </c>
      <c r="N16" s="205" t="str">
        <f t="shared" ca="1" si="4"/>
        <v/>
      </c>
      <c r="O16" s="305"/>
      <c r="P16" s="217"/>
      <c r="Q16" s="217"/>
      <c r="R16" s="206"/>
      <c r="S16" s="206"/>
      <c r="T16" s="206"/>
    </row>
    <row r="17" spans="1:20" s="343" customFormat="1" ht="16.5" customHeight="1" x14ac:dyDescent="0.2">
      <c r="A17" s="38">
        <f>COUNTIF($J$1:J17,"!")</f>
        <v>1</v>
      </c>
      <c r="B17" s="68" t="str">
        <f>IFERROR(VLOOKUP(C17,元件库!$B:$O,3,FALSE),"")</f>
        <v>加热器</v>
      </c>
      <c r="C17" s="64" t="s">
        <v>101</v>
      </c>
      <c r="D17" s="155" t="str">
        <f>IFERROR(VLOOKUP(C17,元件库!$B:$O,2,FALSE),"")</f>
        <v>实德电气</v>
      </c>
      <c r="E17" s="65" t="s">
        <v>29</v>
      </c>
      <c r="F17" s="65">
        <v>5</v>
      </c>
      <c r="G17" s="42">
        <f t="shared" si="0"/>
        <v>20.160000000000004</v>
      </c>
      <c r="H17" s="42">
        <f t="shared" si="1"/>
        <v>100.80000000000001</v>
      </c>
      <c r="I17" s="72"/>
      <c r="J17" s="198">
        <f t="shared" si="2"/>
        <v>1.1200000000000001</v>
      </c>
      <c r="K17" s="81">
        <f t="shared" si="3"/>
        <v>18</v>
      </c>
      <c r="L17" s="200">
        <f>IFERROR(VLOOKUP(C17,元件库!$B:$O,10,FALSE),"1.00")</f>
        <v>1</v>
      </c>
      <c r="M17" s="201">
        <f>IFERROR(VLOOKUP(C17,元件库!$B:$O,11,FALSE),"")</f>
        <v>18</v>
      </c>
      <c r="N17" s="205" t="str">
        <f t="shared" ca="1" si="4"/>
        <v/>
      </c>
      <c r="O17" s="305"/>
      <c r="P17" s="217"/>
      <c r="Q17" s="217"/>
      <c r="R17" s="206"/>
      <c r="S17" s="206"/>
      <c r="T17" s="206"/>
    </row>
    <row r="18" spans="1:20" s="343" customFormat="1" ht="16.5" customHeight="1" x14ac:dyDescent="0.2">
      <c r="A18" s="38">
        <f>COUNTIF($J$1:J18,"!")</f>
        <v>1</v>
      </c>
      <c r="B18" s="204" t="s">
        <v>102</v>
      </c>
      <c r="C18" s="342" t="s">
        <v>103</v>
      </c>
      <c r="D18" s="203" t="s">
        <v>3242</v>
      </c>
      <c r="E18" s="196" t="s">
        <v>23</v>
      </c>
      <c r="F18" s="196">
        <v>4</v>
      </c>
      <c r="G18" s="42">
        <f t="shared" si="0"/>
        <v>268.8</v>
      </c>
      <c r="H18" s="42">
        <f t="shared" si="1"/>
        <v>1075.2</v>
      </c>
      <c r="I18" s="197"/>
      <c r="J18" s="198">
        <f t="shared" si="2"/>
        <v>1.1200000000000001</v>
      </c>
      <c r="K18" s="199">
        <f t="shared" si="3"/>
        <v>240</v>
      </c>
      <c r="L18" s="200" t="str">
        <f>IFERROR(VLOOKUP(C18,元件库!$B:$O,10,FALSE),"1.00")</f>
        <v>1.00</v>
      </c>
      <c r="M18" s="201">
        <v>240</v>
      </c>
      <c r="N18" s="205" t="str">
        <f t="shared" ca="1" si="4"/>
        <v>值</v>
      </c>
      <c r="O18" s="220"/>
      <c r="P18" s="217"/>
      <c r="Q18" s="217"/>
      <c r="R18" s="206"/>
      <c r="S18" s="206"/>
      <c r="T18" s="206"/>
    </row>
    <row r="19" spans="1:20" s="343" customFormat="1" ht="16.5" customHeight="1" x14ac:dyDescent="0.2">
      <c r="A19" s="38">
        <f>COUNTIF($J$1:J19,"!")</f>
        <v>1</v>
      </c>
      <c r="B19" s="204" t="s">
        <v>2745</v>
      </c>
      <c r="C19" s="342" t="s">
        <v>2746</v>
      </c>
      <c r="D19" s="203" t="s">
        <v>3242</v>
      </c>
      <c r="E19" s="196" t="s">
        <v>2747</v>
      </c>
      <c r="F19" s="196">
        <v>1</v>
      </c>
      <c r="G19" s="42">
        <f t="shared" si="0"/>
        <v>3024.0000000000005</v>
      </c>
      <c r="H19" s="42">
        <f t="shared" si="1"/>
        <v>3024.0000000000005</v>
      </c>
      <c r="I19" s="197"/>
      <c r="J19" s="198">
        <f t="shared" si="2"/>
        <v>1.1200000000000001</v>
      </c>
      <c r="K19" s="199">
        <f t="shared" si="3"/>
        <v>2700</v>
      </c>
      <c r="L19" s="200" t="str">
        <f>IFERROR(VLOOKUP(C19,元件库!$B:$O,10,FALSE),"1.00")</f>
        <v>1.00</v>
      </c>
      <c r="M19" s="201">
        <v>2700</v>
      </c>
      <c r="N19" s="205" t="str">
        <f t="shared" ca="1" si="4"/>
        <v>值</v>
      </c>
      <c r="O19" s="220"/>
      <c r="P19" s="217"/>
      <c r="Q19" s="217"/>
      <c r="R19" s="206"/>
      <c r="S19" s="206"/>
      <c r="T19" s="206"/>
    </row>
    <row r="20" spans="1:20" s="343" customFormat="1" ht="16.5" customHeight="1" x14ac:dyDescent="0.2">
      <c r="A20" s="38">
        <f>COUNTIF($J$1:J20,"!")</f>
        <v>1</v>
      </c>
      <c r="B20" s="204" t="s">
        <v>104</v>
      </c>
      <c r="C20" s="342" t="s">
        <v>105</v>
      </c>
      <c r="D20" s="203" t="s">
        <v>3242</v>
      </c>
      <c r="E20" s="196" t="s">
        <v>48</v>
      </c>
      <c r="F20" s="196">
        <v>1</v>
      </c>
      <c r="G20" s="42">
        <f t="shared" si="0"/>
        <v>2912.0000000000005</v>
      </c>
      <c r="H20" s="42">
        <f t="shared" si="1"/>
        <v>2912.0000000000005</v>
      </c>
      <c r="I20" s="197"/>
      <c r="J20" s="198">
        <f t="shared" si="2"/>
        <v>1.1200000000000001</v>
      </c>
      <c r="K20" s="199">
        <f t="shared" si="3"/>
        <v>2600</v>
      </c>
      <c r="L20" s="200" t="str">
        <f>IFERROR(VLOOKUP(C20,元件库!$B:$O,10,FALSE),"1.00")</f>
        <v>1.00</v>
      </c>
      <c r="M20" s="201">
        <v>2600</v>
      </c>
      <c r="N20" s="205" t="str">
        <f t="shared" ca="1" si="4"/>
        <v>值</v>
      </c>
      <c r="O20" s="220"/>
      <c r="P20" s="217"/>
      <c r="Q20" s="217"/>
      <c r="R20" s="206"/>
      <c r="S20" s="206"/>
      <c r="T20" s="206"/>
    </row>
    <row r="21" spans="1:20" s="343" customFormat="1" ht="16.5" customHeight="1" x14ac:dyDescent="0.2">
      <c r="A21" s="38">
        <f>COUNTIF($J$1:J21,"!")</f>
        <v>1</v>
      </c>
      <c r="B21" s="204" t="s">
        <v>106</v>
      </c>
      <c r="C21" s="342" t="s">
        <v>2748</v>
      </c>
      <c r="D21" s="203" t="s">
        <v>3242</v>
      </c>
      <c r="E21" s="65" t="s">
        <v>39</v>
      </c>
      <c r="F21" s="196">
        <f>ROUND(SUM(F22:F23),0)</f>
        <v>12</v>
      </c>
      <c r="G21" s="42">
        <f t="shared" si="0"/>
        <v>134.4</v>
      </c>
      <c r="H21" s="42">
        <f t="shared" si="1"/>
        <v>1612.8000000000002</v>
      </c>
      <c r="I21" s="197"/>
      <c r="J21" s="198">
        <f t="shared" si="2"/>
        <v>1.1200000000000001</v>
      </c>
      <c r="K21" s="199">
        <f t="shared" si="3"/>
        <v>120</v>
      </c>
      <c r="L21" s="200" t="str">
        <f>IFERROR(VLOOKUP(C21,元件库!$B:$O,10,FALSE),"1.00")</f>
        <v>1.00</v>
      </c>
      <c r="M21" s="201">
        <v>120</v>
      </c>
      <c r="N21" s="205" t="str">
        <f t="shared" ca="1" si="4"/>
        <v>值</v>
      </c>
      <c r="O21" s="206"/>
      <c r="P21" s="217"/>
      <c r="Q21" s="217"/>
      <c r="R21" s="214"/>
      <c r="S21" s="214"/>
      <c r="T21" s="214"/>
    </row>
    <row r="22" spans="1:20" s="343" customFormat="1" ht="16.5" customHeight="1" x14ac:dyDescent="0.2">
      <c r="A22" s="38">
        <f>COUNTIF($J$1:J22,"!")</f>
        <v>1</v>
      </c>
      <c r="B22" s="68" t="str">
        <f>IFERROR(VLOOKUP(C22,元件库!$B:$O,3,FALSE),"")</f>
        <v>铜排</v>
      </c>
      <c r="C22" s="64" t="s">
        <v>2749</v>
      </c>
      <c r="D22" s="155" t="str">
        <f>IFERROR(VLOOKUP(C22,元件库!$B:$O,2,FALSE),"")</f>
        <v>欣利铜材</v>
      </c>
      <c r="E22" s="65" t="s">
        <v>39</v>
      </c>
      <c r="F22" s="65">
        <v>4.2</v>
      </c>
      <c r="G22" s="42">
        <f t="shared" si="0"/>
        <v>272.72448000000003</v>
      </c>
      <c r="H22" s="42">
        <f t="shared" si="1"/>
        <v>1145.4428160000002</v>
      </c>
      <c r="I22" s="72"/>
      <c r="J22" s="198">
        <f t="shared" si="2"/>
        <v>1.1200000000000001</v>
      </c>
      <c r="K22" s="81">
        <f t="shared" si="3"/>
        <v>243.50399999999999</v>
      </c>
      <c r="L22" s="200">
        <f>IFERROR(VLOOKUP(C22,元件库!$B:$O,10,FALSE),"1.00")</f>
        <v>1</v>
      </c>
      <c r="M22" s="201">
        <f>IFERROR(VLOOKUP(C22,元件库!$B:$O,11,FALSE),"")</f>
        <v>243.50399999999999</v>
      </c>
      <c r="N22" s="205" t="str">
        <f t="shared" ca="1" si="4"/>
        <v/>
      </c>
      <c r="O22" s="206"/>
      <c r="P22" s="217"/>
      <c r="Q22" s="217"/>
      <c r="R22" s="217"/>
      <c r="S22" s="217"/>
      <c r="T22" s="217"/>
    </row>
    <row r="23" spans="1:20" s="343" customFormat="1" ht="16.5" customHeight="1" x14ac:dyDescent="0.2">
      <c r="A23" s="38">
        <f>COUNTIF($J$1:J23,"!")</f>
        <v>1</v>
      </c>
      <c r="B23" s="68" t="str">
        <f>IFERROR(VLOOKUP(C23,元件库!$B:$O,3,FALSE),"")</f>
        <v>铜排</v>
      </c>
      <c r="C23" s="64" t="s">
        <v>2750</v>
      </c>
      <c r="D23" s="155" t="str">
        <f>IFERROR(VLOOKUP(C23,元件库!$B:$O,2,FALSE),"")</f>
        <v>欣利铜材</v>
      </c>
      <c r="E23" s="65" t="s">
        <v>39</v>
      </c>
      <c r="F23" s="65">
        <v>8</v>
      </c>
      <c r="G23" s="42">
        <f t="shared" si="0"/>
        <v>272.72448000000003</v>
      </c>
      <c r="H23" s="42">
        <f t="shared" si="1"/>
        <v>2181.7958400000002</v>
      </c>
      <c r="I23" s="72"/>
      <c r="J23" s="198">
        <f t="shared" si="2"/>
        <v>1.1200000000000001</v>
      </c>
      <c r="K23" s="81">
        <f t="shared" si="3"/>
        <v>243.50399999999999</v>
      </c>
      <c r="L23" s="200">
        <f>IFERROR(VLOOKUP(C23,元件库!$B:$O,10,FALSE),"1.00")</f>
        <v>1</v>
      </c>
      <c r="M23" s="201">
        <f>IFERROR(VLOOKUP(C23,元件库!$B:$O,11,FALSE),"")</f>
        <v>243.50399999999999</v>
      </c>
      <c r="N23" s="205" t="str">
        <f t="shared" ca="1" si="4"/>
        <v/>
      </c>
      <c r="O23" s="214"/>
      <c r="P23" s="214"/>
      <c r="Q23" s="217"/>
      <c r="R23" s="217"/>
      <c r="S23" s="217"/>
      <c r="T23" s="217"/>
    </row>
    <row r="24" spans="1:20" s="343" customFormat="1" ht="16.5" customHeight="1" x14ac:dyDescent="0.2">
      <c r="A24" s="38">
        <f>COUNTIF($J$1:J24,"!")</f>
        <v>1</v>
      </c>
      <c r="B24" s="68" t="str">
        <f>IFERROR(VLOOKUP(C24,元件库!$B:$O,3,FALSE),"")</f>
        <v>铜排</v>
      </c>
      <c r="C24" s="64" t="s">
        <v>2751</v>
      </c>
      <c r="D24" s="155" t="str">
        <f>IFERROR(VLOOKUP(C24,元件库!$B:$O,2,FALSE),"")</f>
        <v>欣利铜材</v>
      </c>
      <c r="E24" s="65" t="s">
        <v>39</v>
      </c>
      <c r="F24" s="65">
        <v>6</v>
      </c>
      <c r="G24" s="42">
        <f t="shared" si="0"/>
        <v>142.04400000000001</v>
      </c>
      <c r="H24" s="42">
        <f t="shared" si="1"/>
        <v>852.26400000000012</v>
      </c>
      <c r="I24" s="72"/>
      <c r="J24" s="198">
        <f t="shared" si="2"/>
        <v>1.1200000000000001</v>
      </c>
      <c r="K24" s="81">
        <f t="shared" si="3"/>
        <v>126.82499999999999</v>
      </c>
      <c r="L24" s="200">
        <f>IFERROR(VLOOKUP(C24,元件库!$B:$O,10,FALSE),"1.00")</f>
        <v>1</v>
      </c>
      <c r="M24" s="201">
        <f>IFERROR(VLOOKUP(C24,元件库!$B:$O,11,FALSE),"")</f>
        <v>126.82499999999999</v>
      </c>
      <c r="N24" s="205" t="str">
        <f t="shared" ca="1" si="4"/>
        <v/>
      </c>
      <c r="O24" s="214"/>
      <c r="P24" s="218"/>
      <c r="Q24" s="218"/>
      <c r="R24" s="218"/>
      <c r="S24" s="218"/>
      <c r="T24" s="218"/>
    </row>
    <row r="25" spans="1:20" ht="16.5" customHeight="1" x14ac:dyDescent="0.2">
      <c r="A25" s="38">
        <f>COUNTIF($J$1:J25,"!")</f>
        <v>1</v>
      </c>
      <c r="B25" s="207" t="s">
        <v>107</v>
      </c>
      <c r="C25" s="195"/>
      <c r="D25" s="196"/>
      <c r="E25" s="196"/>
      <c r="F25" s="196"/>
      <c r="G25" s="42"/>
      <c r="H25" s="42"/>
      <c r="I25" s="306">
        <f>SUM(H3:H25)</f>
        <v>66061.182656000004</v>
      </c>
      <c r="J25" s="198"/>
      <c r="K25" s="199"/>
      <c r="L25" s="200"/>
      <c r="M25" s="201"/>
      <c r="O25" s="214"/>
      <c r="P25" s="218"/>
      <c r="Q25" s="218"/>
      <c r="R25" s="218"/>
      <c r="S25" s="218"/>
      <c r="T25" s="218"/>
    </row>
    <row r="26" spans="1:20" ht="16.5" customHeight="1" x14ac:dyDescent="0.2">
      <c r="A26" s="38">
        <f>COUNTIF($J$1:J26,"!")</f>
        <v>1</v>
      </c>
      <c r="B26" s="219" t="s">
        <v>47</v>
      </c>
      <c r="C26" s="195"/>
      <c r="D26" s="196"/>
      <c r="E26" s="196"/>
      <c r="F26" s="196"/>
      <c r="G26" s="42"/>
      <c r="H26" s="42">
        <f>IFERROR(J26*K26,"")</f>
        <v>3360.0000000000005</v>
      </c>
      <c r="I26" s="197"/>
      <c r="J26" s="198">
        <f>P$1</f>
        <v>1.1200000000000001</v>
      </c>
      <c r="K26" s="81">
        <f t="shared" ref="K26:K28" si="5">IFERROR(M26*L26,"")</f>
        <v>3000</v>
      </c>
      <c r="L26" s="200" t="str">
        <f>IFERROR(VLOOKUP(C26,元件库!$B:$O,10,FALSE),"1.00")</f>
        <v>1.00</v>
      </c>
      <c r="M26" s="201">
        <v>3000</v>
      </c>
      <c r="O26" s="214"/>
      <c r="P26" s="218"/>
      <c r="Q26" s="218"/>
      <c r="R26" s="218"/>
      <c r="S26" s="218"/>
      <c r="T26" s="218"/>
    </row>
    <row r="27" spans="1:20" s="206" customFormat="1" ht="16.5" customHeight="1" x14ac:dyDescent="0.2">
      <c r="A27" s="38">
        <f>COUNTIF($J$1:J27,"!")</f>
        <v>1</v>
      </c>
      <c r="B27" s="219" t="s">
        <v>49</v>
      </c>
      <c r="C27" s="195"/>
      <c r="D27" s="196"/>
      <c r="E27" s="196"/>
      <c r="F27" s="196"/>
      <c r="G27" s="42"/>
      <c r="H27" s="42">
        <f>IFERROR(J27*K27,"")</f>
        <v>1344.0000000000002</v>
      </c>
      <c r="I27" s="197"/>
      <c r="J27" s="198">
        <f>P$1</f>
        <v>1.1200000000000001</v>
      </c>
      <c r="K27" s="81">
        <f t="shared" si="5"/>
        <v>1200</v>
      </c>
      <c r="L27" s="200" t="str">
        <f>IFERROR(VLOOKUP(C27,元件库!$B:$O,10,FALSE),"1.00")</f>
        <v>1.00</v>
      </c>
      <c r="M27" s="201">
        <v>1200</v>
      </c>
      <c r="N27" s="220"/>
      <c r="O27" s="214"/>
      <c r="P27" s="218"/>
      <c r="Q27" s="218"/>
      <c r="R27" s="218"/>
      <c r="S27" s="218"/>
      <c r="T27" s="218"/>
    </row>
    <row r="28" spans="1:20" s="206" customFormat="1" ht="16.5" customHeight="1" x14ac:dyDescent="0.2">
      <c r="A28" s="38">
        <f>COUNTIF($J$1:J28,"!")</f>
        <v>1</v>
      </c>
      <c r="B28" s="219" t="s">
        <v>50</v>
      </c>
      <c r="C28" s="195"/>
      <c r="D28" s="196"/>
      <c r="E28" s="196"/>
      <c r="F28" s="196"/>
      <c r="G28" s="42"/>
      <c r="H28" s="42">
        <f>IFERROR(J28*K28,"")</f>
        <v>560</v>
      </c>
      <c r="I28" s="197"/>
      <c r="J28" s="198">
        <f>P$1</f>
        <v>1.1200000000000001</v>
      </c>
      <c r="K28" s="81">
        <f t="shared" si="5"/>
        <v>500</v>
      </c>
      <c r="L28" s="200" t="str">
        <f>IFERROR(VLOOKUP(C28,元件库!$B:$O,10,FALSE),"1.00")</f>
        <v>1.00</v>
      </c>
      <c r="M28" s="201">
        <v>500</v>
      </c>
      <c r="N28" s="220"/>
      <c r="O28" s="214"/>
      <c r="P28" s="218"/>
      <c r="Q28" s="218"/>
      <c r="R28" s="218"/>
      <c r="S28" s="218"/>
      <c r="T28" s="218"/>
    </row>
    <row r="29" spans="1:20" s="206" customFormat="1" ht="16.5" customHeight="1" x14ac:dyDescent="0.2">
      <c r="A29" s="38">
        <f>COUNTIF($J$1:J29,"!")</f>
        <v>1</v>
      </c>
      <c r="B29" s="219" t="s">
        <v>79</v>
      </c>
      <c r="C29" s="195"/>
      <c r="D29" s="196"/>
      <c r="E29" s="196"/>
      <c r="F29" s="196"/>
      <c r="G29" s="42"/>
      <c r="H29" s="42">
        <f>K29*L29</f>
        <v>4279.51095936</v>
      </c>
      <c r="I29" s="197"/>
      <c r="J29" s="198"/>
      <c r="K29" s="199">
        <f>SUM(H26:H28)+I25</f>
        <v>71325.182656000004</v>
      </c>
      <c r="L29" s="275">
        <f>R$1</f>
        <v>0.06</v>
      </c>
      <c r="M29" s="201"/>
      <c r="N29" s="220"/>
      <c r="O29" s="214"/>
      <c r="P29" s="218"/>
      <c r="Q29" s="218"/>
      <c r="R29" s="218"/>
      <c r="S29" s="218"/>
      <c r="T29" s="218"/>
    </row>
    <row r="30" spans="1:20" ht="16.5" customHeight="1" x14ac:dyDescent="0.2">
      <c r="A30" s="38">
        <f>COUNTIF($J$1:J30,"!")</f>
        <v>1</v>
      </c>
      <c r="B30" s="219" t="s">
        <v>108</v>
      </c>
      <c r="C30" s="195"/>
      <c r="D30" s="196"/>
      <c r="E30" s="196"/>
      <c r="F30" s="196"/>
      <c r="G30" s="209"/>
      <c r="H30" s="42">
        <f>K30*L30</f>
        <v>0</v>
      </c>
      <c r="I30" s="197"/>
      <c r="J30" s="198"/>
      <c r="K30" s="199">
        <f>H29+K29</f>
        <v>75604.693615360011</v>
      </c>
      <c r="L30" s="275">
        <f>T$1</f>
        <v>0</v>
      </c>
      <c r="M30" s="201"/>
      <c r="O30" s="214"/>
      <c r="P30" s="218"/>
      <c r="Q30" s="218"/>
      <c r="R30" s="218"/>
      <c r="S30" s="218"/>
      <c r="T30" s="218"/>
    </row>
    <row r="31" spans="1:20" ht="16.5" customHeight="1" x14ac:dyDescent="0.15">
      <c r="A31" s="32">
        <f>COUNTIF($J$1:J31,"!")</f>
        <v>2</v>
      </c>
      <c r="B31" s="33" t="s">
        <v>1886</v>
      </c>
      <c r="C31" s="341" t="s">
        <v>2752</v>
      </c>
      <c r="D31" s="215"/>
      <c r="E31" s="34" t="s">
        <v>23</v>
      </c>
      <c r="F31" s="215">
        <v>1</v>
      </c>
      <c r="G31" s="36">
        <f>ROUND(SUMIF(A32:A61,A31,H32:H61),0)</f>
        <v>114983</v>
      </c>
      <c r="H31" s="216" t="str">
        <f>IF(ISNUMBER(FIND(" ",C32)),MID(C32,1,FIND(" ",C32)-1),IF(ISNUMBER(FIND("电容柜",B31)),"GGJ",MID(C32,1,FIND("-",C32)-1)))</f>
        <v>KYN61</v>
      </c>
      <c r="I31" s="47" t="str">
        <f>MID(C32,IF(LEN(C32)-LEN(H31)&gt;3,LEN(H31)+2,1),30)</f>
        <v>1400*3200*2600</v>
      </c>
      <c r="J31" s="48" t="s">
        <v>24</v>
      </c>
      <c r="K31" s="49"/>
      <c r="L31" s="50"/>
      <c r="M31" s="51"/>
      <c r="O31" s="214"/>
      <c r="P31" s="218"/>
      <c r="Q31" s="218"/>
      <c r="R31" s="218"/>
      <c r="S31" s="218"/>
      <c r="T31" s="218"/>
    </row>
    <row r="32" spans="1:20" ht="16.5" customHeight="1" x14ac:dyDescent="0.2">
      <c r="A32" s="38">
        <f>COUNTIF($J$1:J32,"!")</f>
        <v>2</v>
      </c>
      <c r="B32" s="204" t="str">
        <f>IFERROR(VLOOKUP(C32,元件库!$B:$O,3,FALSE),"")</f>
        <v>壳体W*D*H</v>
      </c>
      <c r="C32" s="342" t="s">
        <v>2170</v>
      </c>
      <c r="D32" s="203" t="str">
        <f>IFERROR(VLOOKUP(C32,元件库!$B:$O,2,FALSE),"")</f>
        <v>精益联合集团</v>
      </c>
      <c r="E32" s="196" t="s">
        <v>23</v>
      </c>
      <c r="F32" s="196">
        <v>1</v>
      </c>
      <c r="G32" s="42">
        <f t="shared" ref="G32:G37" si="6">IFERROR(J32*K32,"")</f>
        <v>17360</v>
      </c>
      <c r="H32" s="42">
        <f t="shared" ref="H32:H37" si="7">IFERROR(G32*F32,"")</f>
        <v>17360</v>
      </c>
      <c r="I32" s="197"/>
      <c r="J32" s="198">
        <f t="shared" ref="J32:J37" si="8">P$1</f>
        <v>1.1200000000000001</v>
      </c>
      <c r="K32" s="199">
        <f t="shared" ref="K32:K37" si="9">IFERROR(M32*L32,"")</f>
        <v>15500</v>
      </c>
      <c r="L32" s="200">
        <f>IFERROR(VLOOKUP(C32,元件库!$B:$O,10,FALSE),"1.00")</f>
        <v>1</v>
      </c>
      <c r="M32" s="201">
        <f>IFERROR(VLOOKUP(C32,元件库!$B:$O,11,FALSE),"")</f>
        <v>15500</v>
      </c>
      <c r="N32" s="205" t="str">
        <f ca="1">IF(AND(ISNUMBER(FIND("IF",_xlfn.FORMULATEXT(L32))),ISNUMBER(FIND("IF",_xlfn.FORMULATEXT(M32)))),"","值")</f>
        <v/>
      </c>
      <c r="O32" s="214"/>
      <c r="P32" s="218"/>
      <c r="Q32" s="218"/>
      <c r="R32" s="218"/>
      <c r="S32" s="218"/>
      <c r="T32" s="218"/>
    </row>
    <row r="33" spans="1:20" s="343" customFormat="1" ht="16.5" customHeight="1" x14ac:dyDescent="0.2">
      <c r="A33" s="38">
        <f>COUNTIF($J$1:J33,"!")</f>
        <v>2</v>
      </c>
      <c r="B33" s="204" t="s">
        <v>82</v>
      </c>
      <c r="C33" s="342" t="s">
        <v>2753</v>
      </c>
      <c r="D33" s="203" t="s">
        <v>3242</v>
      </c>
      <c r="E33" s="196" t="s">
        <v>29</v>
      </c>
      <c r="F33" s="196">
        <v>1</v>
      </c>
      <c r="G33" s="42">
        <f t="shared" si="6"/>
        <v>48944.000000000007</v>
      </c>
      <c r="H33" s="42">
        <f t="shared" si="7"/>
        <v>48944.000000000007</v>
      </c>
      <c r="I33" s="197"/>
      <c r="J33" s="198">
        <f t="shared" si="8"/>
        <v>1.1200000000000001</v>
      </c>
      <c r="K33" s="199">
        <f t="shared" si="9"/>
        <v>43700</v>
      </c>
      <c r="L33" s="200">
        <v>1</v>
      </c>
      <c r="M33" s="201">
        <v>43700</v>
      </c>
      <c r="N33" s="205" t="str">
        <f t="shared" ref="N33:N55" ca="1" si="10">IF(AND(ISNUMBER(FIND("IF",_xlfn.FORMULATEXT(L33))),ISNUMBER(FIND("IF",_xlfn.FORMULATEXT(M33)))),"","值")</f>
        <v>值</v>
      </c>
      <c r="O33" s="214"/>
      <c r="P33" s="218"/>
      <c r="Q33" s="218"/>
      <c r="R33" s="218"/>
      <c r="S33" s="218"/>
      <c r="T33" s="218"/>
    </row>
    <row r="34" spans="1:20" s="343" customFormat="1" ht="16.5" customHeight="1" x14ac:dyDescent="0.2">
      <c r="A34" s="38">
        <f>COUNTIF($J$1:J34,"!")</f>
        <v>2</v>
      </c>
      <c r="B34" s="68" t="str">
        <f>IFERROR(VLOOKUP(C34,元件库!$B:$O,3,FALSE),"")</f>
        <v>微机保护装置</v>
      </c>
      <c r="C34" s="64" t="s">
        <v>2754</v>
      </c>
      <c r="D34" s="155" t="str">
        <f>IFERROR(VLOOKUP(C34,元件库!$B:$O,2,FALSE),"")</f>
        <v>上海桂电</v>
      </c>
      <c r="E34" s="65" t="s">
        <v>29</v>
      </c>
      <c r="F34" s="65">
        <v>1</v>
      </c>
      <c r="G34" s="42">
        <f t="shared" si="6"/>
        <v>2800.0000000000005</v>
      </c>
      <c r="H34" s="42">
        <f t="shared" si="7"/>
        <v>2800.0000000000005</v>
      </c>
      <c r="I34" s="72"/>
      <c r="J34" s="198">
        <f t="shared" si="8"/>
        <v>1.1200000000000001</v>
      </c>
      <c r="K34" s="81">
        <f t="shared" si="9"/>
        <v>2500</v>
      </c>
      <c r="L34" s="200">
        <f>IFERROR(VLOOKUP(C34,元件库!$B:$O,10,FALSE),"1.00")</f>
        <v>1</v>
      </c>
      <c r="M34" s="201">
        <f>IFERROR(VLOOKUP(C34,元件库!$B:$O,11,FALSE),"")</f>
        <v>2500</v>
      </c>
      <c r="N34" s="205" t="str">
        <f t="shared" ca="1" si="10"/>
        <v/>
      </c>
      <c r="O34" s="214"/>
      <c r="P34" s="218"/>
      <c r="Q34" s="218"/>
      <c r="R34" s="218"/>
      <c r="S34" s="218"/>
      <c r="T34" s="218"/>
    </row>
    <row r="35" spans="1:20" s="343" customFormat="1" ht="16.5" customHeight="1" x14ac:dyDescent="0.2">
      <c r="A35" s="38">
        <f>COUNTIF($J$1:J35,"!")</f>
        <v>2</v>
      </c>
      <c r="B35" s="68" t="s">
        <v>61</v>
      </c>
      <c r="C35" s="64" t="s">
        <v>2755</v>
      </c>
      <c r="D35" s="155" t="s">
        <v>1896</v>
      </c>
      <c r="E35" s="65" t="s">
        <v>29</v>
      </c>
      <c r="F35" s="65">
        <v>2</v>
      </c>
      <c r="G35" s="42">
        <f t="shared" si="6"/>
        <v>2912.0000000000005</v>
      </c>
      <c r="H35" s="42">
        <f t="shared" si="7"/>
        <v>5824.0000000000009</v>
      </c>
      <c r="I35" s="72"/>
      <c r="J35" s="198">
        <f t="shared" si="8"/>
        <v>1.1200000000000001</v>
      </c>
      <c r="K35" s="81">
        <f t="shared" si="9"/>
        <v>2600</v>
      </c>
      <c r="L35" s="200" t="str">
        <f>IFERROR(VLOOKUP(C35,元件库!$B:$O,10,FALSE),"1.00")</f>
        <v>1.00</v>
      </c>
      <c r="M35" s="201">
        <v>2600</v>
      </c>
      <c r="N35" s="205" t="str">
        <f t="shared" ca="1" si="10"/>
        <v>值</v>
      </c>
      <c r="O35" s="214"/>
      <c r="P35" s="218"/>
      <c r="Q35" s="218"/>
      <c r="R35" s="218"/>
      <c r="S35" s="218"/>
      <c r="T35" s="218"/>
    </row>
    <row r="36" spans="1:20" s="343" customFormat="1" ht="16.5" customHeight="1" x14ac:dyDescent="0.2">
      <c r="A36" s="38">
        <f>COUNTIF($J$1:J36,"!")</f>
        <v>2</v>
      </c>
      <c r="B36" s="68" t="str">
        <f>IFERROR(VLOOKUP(C36,元件库!$B:$O,3,FALSE),"")</f>
        <v>电流.电压表</v>
      </c>
      <c r="C36" s="64" t="s">
        <v>1899</v>
      </c>
      <c r="D36" s="155" t="str">
        <f>IFERROR(VLOOKUP(C36,元件库!$B:$O,2,FALSE),"")</f>
        <v>精益联合集团</v>
      </c>
      <c r="E36" s="65" t="s">
        <v>29</v>
      </c>
      <c r="F36" s="65">
        <v>2</v>
      </c>
      <c r="G36" s="42">
        <f t="shared" si="6"/>
        <v>15.400000000000004</v>
      </c>
      <c r="H36" s="42">
        <f t="shared" si="7"/>
        <v>30.800000000000008</v>
      </c>
      <c r="I36" s="72"/>
      <c r="J36" s="198">
        <f t="shared" si="8"/>
        <v>1.1200000000000001</v>
      </c>
      <c r="K36" s="81">
        <f t="shared" si="9"/>
        <v>13.750000000000002</v>
      </c>
      <c r="L36" s="200">
        <f>IFERROR(VLOOKUP(C36,元件库!$B:$O,10,FALSE),"1.00")</f>
        <v>0.55000000000000004</v>
      </c>
      <c r="M36" s="201">
        <f>IFERROR(VLOOKUP(C36,元件库!$B:$O,11,FALSE),"")</f>
        <v>25</v>
      </c>
      <c r="N36" s="205" t="str">
        <f t="shared" ca="1" si="10"/>
        <v/>
      </c>
      <c r="O36" s="214"/>
      <c r="P36" s="218"/>
      <c r="Q36" s="218"/>
      <c r="R36" s="218"/>
      <c r="S36" s="218"/>
      <c r="T36" s="218"/>
    </row>
    <row r="37" spans="1:20" s="343" customFormat="1" ht="16.5" customHeight="1" x14ac:dyDescent="0.2">
      <c r="A37" s="38">
        <f>COUNTIF($J$1:J37,"!")</f>
        <v>2</v>
      </c>
      <c r="B37" s="68" t="s">
        <v>1922</v>
      </c>
      <c r="C37" s="64" t="s">
        <v>1923</v>
      </c>
      <c r="D37" s="155" t="s">
        <v>2733</v>
      </c>
      <c r="E37" s="65" t="s">
        <v>29</v>
      </c>
      <c r="F37" s="65">
        <v>1</v>
      </c>
      <c r="G37" s="42">
        <f t="shared" si="6"/>
        <v>2688.0000000000005</v>
      </c>
      <c r="H37" s="42">
        <f t="shared" si="7"/>
        <v>2688.0000000000005</v>
      </c>
      <c r="I37" s="72"/>
      <c r="J37" s="198">
        <f t="shared" si="8"/>
        <v>1.1200000000000001</v>
      </c>
      <c r="K37" s="81">
        <f t="shared" si="9"/>
        <v>2400</v>
      </c>
      <c r="L37" s="200" t="str">
        <f>IFERROR(VLOOKUP(C37,元件库!$B:$O,10,FALSE),"1.00")</f>
        <v>1.00</v>
      </c>
      <c r="M37" s="201">
        <v>2400</v>
      </c>
      <c r="N37" s="205" t="str">
        <f t="shared" ca="1" si="10"/>
        <v>值</v>
      </c>
      <c r="O37" s="214"/>
      <c r="P37" s="218"/>
      <c r="Q37" s="218"/>
      <c r="R37" s="218"/>
      <c r="S37" s="218"/>
      <c r="T37" s="218"/>
    </row>
    <row r="38" spans="1:20" s="343" customFormat="1" ht="16.5" customHeight="1" x14ac:dyDescent="0.2">
      <c r="A38" s="38">
        <f>COUNTIF($J$1:J38,"!")</f>
        <v>2</v>
      </c>
      <c r="B38" s="68" t="s">
        <v>1924</v>
      </c>
      <c r="C38" s="64" t="s">
        <v>2756</v>
      </c>
      <c r="D38" s="155" t="s">
        <v>1925</v>
      </c>
      <c r="E38" s="65" t="s">
        <v>29</v>
      </c>
      <c r="F38" s="65">
        <v>1</v>
      </c>
      <c r="G38" s="42">
        <f>IFERROR(J38*K38,"")</f>
        <v>3136.0000000000005</v>
      </c>
      <c r="H38" s="42">
        <f>IFERROR(G38*F38,"")</f>
        <v>3136.0000000000005</v>
      </c>
      <c r="I38" s="72"/>
      <c r="J38" s="198">
        <f>P$1</f>
        <v>1.1200000000000001</v>
      </c>
      <c r="K38" s="81">
        <f>IFERROR(M38*L38,"")</f>
        <v>2800</v>
      </c>
      <c r="L38" s="200" t="str">
        <f>IFERROR(VLOOKUP(C38,元件库!$B:$O,10,FALSE),"1.00")</f>
        <v>1.00</v>
      </c>
      <c r="M38" s="201">
        <v>2800</v>
      </c>
      <c r="N38" s="205" t="str">
        <f t="shared" ca="1" si="10"/>
        <v>值</v>
      </c>
      <c r="O38" s="214"/>
      <c r="P38" s="218"/>
      <c r="Q38" s="218"/>
      <c r="R38" s="218"/>
      <c r="S38" s="218"/>
      <c r="T38" s="218"/>
    </row>
    <row r="39" spans="1:20" s="343" customFormat="1" ht="16.5" customHeight="1" x14ac:dyDescent="0.2">
      <c r="A39" s="38">
        <f>COUNTIF($J$1:J39,"!")</f>
        <v>2</v>
      </c>
      <c r="B39" s="68" t="s">
        <v>1926</v>
      </c>
      <c r="C39" s="64" t="s">
        <v>2757</v>
      </c>
      <c r="D39" s="155" t="s">
        <v>3242</v>
      </c>
      <c r="E39" s="65" t="s">
        <v>29</v>
      </c>
      <c r="F39" s="65">
        <v>1</v>
      </c>
      <c r="G39" s="42">
        <f>IFERROR(J39*K39,"")</f>
        <v>728.00000000000011</v>
      </c>
      <c r="H39" s="42">
        <f>IFERROR(G39*F39,"")</f>
        <v>728.00000000000011</v>
      </c>
      <c r="I39" s="72"/>
      <c r="J39" s="198">
        <f>P$1</f>
        <v>1.1200000000000001</v>
      </c>
      <c r="K39" s="81">
        <f>IFERROR(M39*L39,"")</f>
        <v>650</v>
      </c>
      <c r="L39" s="200" t="str">
        <f>IFERROR(VLOOKUP(C39,元件库!$B:$O,10,FALSE),"1.00")</f>
        <v>1.00</v>
      </c>
      <c r="M39" s="201">
        <v>650</v>
      </c>
      <c r="N39" s="205" t="str">
        <f t="shared" ca="1" si="10"/>
        <v>值</v>
      </c>
      <c r="O39" s="214"/>
      <c r="P39" s="218"/>
      <c r="Q39" s="218"/>
      <c r="R39" s="218"/>
      <c r="S39" s="218"/>
      <c r="T39" s="218"/>
    </row>
    <row r="40" spans="1:20" s="343" customFormat="1" ht="16.5" customHeight="1" x14ac:dyDescent="0.2">
      <c r="A40" s="38">
        <f>COUNTIF($J$1:J40,"!")</f>
        <v>2</v>
      </c>
      <c r="B40" s="68" t="str">
        <f>IFERROR(VLOOKUP(C40,元件库!$B:$O,3,FALSE),"")</f>
        <v>静触头</v>
      </c>
      <c r="C40" s="64" t="s">
        <v>169</v>
      </c>
      <c r="D40" s="155" t="str">
        <f>IFERROR(VLOOKUP(C40,元件库!$B:$O,2,FALSE),"")</f>
        <v>福一开</v>
      </c>
      <c r="E40" s="65" t="s">
        <v>29</v>
      </c>
      <c r="F40" s="65">
        <v>6</v>
      </c>
      <c r="G40" s="42">
        <f t="shared" ref="G40:G46" si="11">IFERROR(J40*K40,"")</f>
        <v>47.040000000000006</v>
      </c>
      <c r="H40" s="42">
        <f t="shared" ref="H40:H46" si="12">IFERROR(G40*F40,"")</f>
        <v>282.24</v>
      </c>
      <c r="I40" s="72"/>
      <c r="J40" s="198">
        <f t="shared" ref="J40:J46" si="13">P$1</f>
        <v>1.1200000000000001</v>
      </c>
      <c r="K40" s="81">
        <f t="shared" ref="K40:K46" si="14">IFERROR(M40*L40,"")</f>
        <v>42</v>
      </c>
      <c r="L40" s="200">
        <f>IFERROR(VLOOKUP(C40,元件库!$B:$O,10,FALSE),"1.00")</f>
        <v>1</v>
      </c>
      <c r="M40" s="201">
        <f>IFERROR(VLOOKUP(C40,元件库!$B:$O,11,FALSE),"")</f>
        <v>42</v>
      </c>
      <c r="N40" s="205" t="str">
        <f t="shared" ca="1" si="10"/>
        <v/>
      </c>
      <c r="O40" s="214"/>
      <c r="P40" s="218"/>
      <c r="Q40" s="218"/>
      <c r="R40" s="218"/>
      <c r="S40" s="218"/>
      <c r="T40" s="218"/>
    </row>
    <row r="41" spans="1:20" s="343" customFormat="1" ht="16.5" customHeight="1" x14ac:dyDescent="0.2">
      <c r="A41" s="38">
        <f>COUNTIF($J$1:J41,"!")</f>
        <v>2</v>
      </c>
      <c r="B41" s="68" t="s">
        <v>89</v>
      </c>
      <c r="C41" s="64" t="s">
        <v>90</v>
      </c>
      <c r="D41" s="155" t="s">
        <v>88</v>
      </c>
      <c r="E41" s="65" t="s">
        <v>29</v>
      </c>
      <c r="F41" s="65">
        <v>6</v>
      </c>
      <c r="G41" s="42">
        <f t="shared" si="11"/>
        <v>761.6</v>
      </c>
      <c r="H41" s="42">
        <f t="shared" si="12"/>
        <v>4569.6000000000004</v>
      </c>
      <c r="I41" s="72"/>
      <c r="J41" s="198">
        <f t="shared" si="13"/>
        <v>1.1200000000000001</v>
      </c>
      <c r="K41" s="81">
        <f t="shared" si="14"/>
        <v>680</v>
      </c>
      <c r="L41" s="200" t="str">
        <f>IFERROR(VLOOKUP(C41,元件库!$B:$O,10,FALSE),"1.00")</f>
        <v>1.00</v>
      </c>
      <c r="M41" s="201">
        <v>680</v>
      </c>
      <c r="N41" s="205" t="str">
        <f t="shared" ca="1" si="10"/>
        <v>值</v>
      </c>
      <c r="O41" s="214"/>
      <c r="P41" s="218"/>
      <c r="Q41" s="218"/>
      <c r="R41" s="218"/>
      <c r="S41" s="218"/>
      <c r="T41" s="218"/>
    </row>
    <row r="42" spans="1:20" s="343" customFormat="1" ht="16.5" customHeight="1" x14ac:dyDescent="0.2">
      <c r="A42" s="38">
        <f>COUNTIF($J$1:J42,"!")</f>
        <v>2</v>
      </c>
      <c r="B42" s="68" t="s">
        <v>91</v>
      </c>
      <c r="C42" s="64" t="s">
        <v>92</v>
      </c>
      <c r="D42" s="155" t="s">
        <v>88</v>
      </c>
      <c r="E42" s="65" t="s">
        <v>29</v>
      </c>
      <c r="F42" s="65">
        <v>3</v>
      </c>
      <c r="G42" s="42">
        <f t="shared" si="11"/>
        <v>537.6</v>
      </c>
      <c r="H42" s="42">
        <f t="shared" si="12"/>
        <v>1612.8000000000002</v>
      </c>
      <c r="I42" s="72"/>
      <c r="J42" s="198">
        <f t="shared" si="13"/>
        <v>1.1200000000000001</v>
      </c>
      <c r="K42" s="81">
        <f t="shared" si="14"/>
        <v>480</v>
      </c>
      <c r="L42" s="200" t="str">
        <f>IFERROR(VLOOKUP(C42,元件库!$B:$O,10,FALSE),"1.00")</f>
        <v>1.00</v>
      </c>
      <c r="M42" s="201">
        <v>480</v>
      </c>
      <c r="N42" s="205" t="str">
        <f t="shared" ca="1" si="10"/>
        <v>值</v>
      </c>
      <c r="O42" s="305"/>
      <c r="P42" s="218"/>
      <c r="Q42" s="218"/>
      <c r="R42" s="218"/>
      <c r="S42" s="218"/>
      <c r="T42" s="218"/>
    </row>
    <row r="43" spans="1:20" s="343" customFormat="1" ht="16.5" customHeight="1" x14ac:dyDescent="0.2">
      <c r="A43" s="38">
        <f>COUNTIF($J$1:J43,"!")</f>
        <v>2</v>
      </c>
      <c r="B43" s="68" t="s">
        <v>93</v>
      </c>
      <c r="C43" s="64" t="s">
        <v>94</v>
      </c>
      <c r="D43" s="155" t="s">
        <v>88</v>
      </c>
      <c r="E43" s="65" t="s">
        <v>29</v>
      </c>
      <c r="F43" s="65">
        <v>3</v>
      </c>
      <c r="G43" s="42">
        <f t="shared" si="11"/>
        <v>134.4</v>
      </c>
      <c r="H43" s="42">
        <f t="shared" si="12"/>
        <v>403.20000000000005</v>
      </c>
      <c r="I43" s="72"/>
      <c r="J43" s="198">
        <f t="shared" si="13"/>
        <v>1.1200000000000001</v>
      </c>
      <c r="K43" s="81">
        <f t="shared" si="14"/>
        <v>120</v>
      </c>
      <c r="L43" s="200" t="str">
        <f>IFERROR(VLOOKUP(C43,元件库!$B:$O,10,FALSE),"1.00")</f>
        <v>1.00</v>
      </c>
      <c r="M43" s="201">
        <v>120</v>
      </c>
      <c r="N43" s="205" t="str">
        <f t="shared" ca="1" si="10"/>
        <v>值</v>
      </c>
      <c r="O43" s="305"/>
      <c r="P43" s="218"/>
      <c r="Q43" s="218"/>
      <c r="R43" s="218"/>
      <c r="S43" s="218"/>
      <c r="T43" s="218"/>
    </row>
    <row r="44" spans="1:20" s="218" customFormat="1" ht="16.5" customHeight="1" x14ac:dyDescent="0.2">
      <c r="A44" s="38">
        <f>COUNTIF($J$1:J44,"!")</f>
        <v>2</v>
      </c>
      <c r="B44" s="204" t="s">
        <v>95</v>
      </c>
      <c r="C44" s="195" t="s">
        <v>96</v>
      </c>
      <c r="D44" s="203" t="s">
        <v>88</v>
      </c>
      <c r="E44" s="196" t="str">
        <f>IF(D44="欣利铜材","米",IF(B44="氧化锌避雷器","组","只"))</f>
        <v>只</v>
      </c>
      <c r="F44" s="196">
        <v>1</v>
      </c>
      <c r="G44" s="42">
        <f t="shared" si="11"/>
        <v>470.40000000000003</v>
      </c>
      <c r="H44" s="42">
        <f t="shared" si="12"/>
        <v>470.40000000000003</v>
      </c>
      <c r="I44" s="197"/>
      <c r="J44" s="198">
        <f t="shared" si="13"/>
        <v>1.1200000000000001</v>
      </c>
      <c r="K44" s="199">
        <f t="shared" si="14"/>
        <v>420</v>
      </c>
      <c r="L44" s="200" t="str">
        <f>IFERROR(VLOOKUP(C44,元件库!$B:$O,10,FALSE),"1.00")</f>
        <v>1.00</v>
      </c>
      <c r="M44" s="201">
        <v>420</v>
      </c>
      <c r="N44" s="205" t="str">
        <f t="shared" ca="1" si="10"/>
        <v>值</v>
      </c>
      <c r="O44" s="305"/>
    </row>
    <row r="45" spans="1:20" s="218" customFormat="1" ht="16.5" customHeight="1" x14ac:dyDescent="0.2">
      <c r="A45" s="38">
        <f>COUNTIF($J$1:J45,"!")</f>
        <v>2</v>
      </c>
      <c r="B45" s="204" t="s">
        <v>1927</v>
      </c>
      <c r="C45" s="195" t="s">
        <v>1928</v>
      </c>
      <c r="D45" s="203" t="s">
        <v>2758</v>
      </c>
      <c r="E45" s="196" t="str">
        <f>IF(D45="欣利铜材","米",IF(B45="氧化锌避雷器","组","只"))</f>
        <v>只</v>
      </c>
      <c r="F45" s="196">
        <v>1</v>
      </c>
      <c r="G45" s="42">
        <f t="shared" si="11"/>
        <v>31.360000000000003</v>
      </c>
      <c r="H45" s="42">
        <f t="shared" si="12"/>
        <v>31.360000000000003</v>
      </c>
      <c r="I45" s="197"/>
      <c r="J45" s="198">
        <f t="shared" si="13"/>
        <v>1.1200000000000001</v>
      </c>
      <c r="K45" s="199">
        <f t="shared" si="14"/>
        <v>28</v>
      </c>
      <c r="L45" s="200" t="str">
        <f>IFERROR(VLOOKUP(C45,元件库!$B:$O,10,FALSE),"1.00")</f>
        <v>1.00</v>
      </c>
      <c r="M45" s="201">
        <v>28</v>
      </c>
      <c r="N45" s="205" t="str">
        <f t="shared" ca="1" si="10"/>
        <v>值</v>
      </c>
      <c r="O45" s="214"/>
    </row>
    <row r="46" spans="1:20" s="343" customFormat="1" ht="16.5" customHeight="1" x14ac:dyDescent="0.2">
      <c r="A46" s="38">
        <f>COUNTIF($J$1:J46,"!")</f>
        <v>2</v>
      </c>
      <c r="B46" s="68" t="str">
        <f>IFERROR(VLOOKUP(C46,元件库!$B:$O,3,FALSE),"")</f>
        <v>电磁锁</v>
      </c>
      <c r="C46" s="64" t="s">
        <v>98</v>
      </c>
      <c r="D46" s="155" t="str">
        <f>IFERROR(VLOOKUP(C46,元件库!$B:$O,2,FALSE),"")</f>
        <v>哈陆拉</v>
      </c>
      <c r="E46" s="65" t="s">
        <v>29</v>
      </c>
      <c r="F46" s="65">
        <v>1</v>
      </c>
      <c r="G46" s="42">
        <f t="shared" si="11"/>
        <v>61.600000000000009</v>
      </c>
      <c r="H46" s="42">
        <f t="shared" si="12"/>
        <v>61.600000000000009</v>
      </c>
      <c r="I46" s="72"/>
      <c r="J46" s="198">
        <f t="shared" si="13"/>
        <v>1.1200000000000001</v>
      </c>
      <c r="K46" s="81">
        <f t="shared" si="14"/>
        <v>55</v>
      </c>
      <c r="L46" s="200">
        <f>IFERROR(VLOOKUP(C46,元件库!$B:$O,10,FALSE),"1.00")</f>
        <v>1</v>
      </c>
      <c r="M46" s="201">
        <f>IFERROR(VLOOKUP(C46,元件库!$B:$O,11,FALSE),"")</f>
        <v>55</v>
      </c>
      <c r="N46" s="205" t="str">
        <f t="shared" ca="1" si="10"/>
        <v/>
      </c>
      <c r="O46" s="305"/>
      <c r="P46" s="217"/>
      <c r="Q46" s="217"/>
      <c r="R46" s="214"/>
      <c r="S46" s="214"/>
      <c r="T46" s="214"/>
    </row>
    <row r="47" spans="1:20" s="343" customFormat="1" ht="16.5" customHeight="1" x14ac:dyDescent="0.2">
      <c r="A47" s="38">
        <f>COUNTIF($J$1:J47,"!")</f>
        <v>2</v>
      </c>
      <c r="B47" s="68" t="str">
        <f>IFERROR(VLOOKUP(C47,元件库!$B:$O,3,FALSE),"")</f>
        <v>温湿度控制器</v>
      </c>
      <c r="C47" s="64" t="s">
        <v>1929</v>
      </c>
      <c r="D47" s="155" t="str">
        <f>IFERROR(VLOOKUP(C47,元件库!$B:$O,2,FALSE),"")</f>
        <v>实德电气</v>
      </c>
      <c r="E47" s="65" t="s">
        <v>29</v>
      </c>
      <c r="F47" s="65">
        <v>1</v>
      </c>
      <c r="G47" s="42">
        <f>IFERROR(J47*K47,"")</f>
        <v>123.20000000000002</v>
      </c>
      <c r="H47" s="42">
        <f>IFERROR(G47*F47,"")</f>
        <v>123.20000000000002</v>
      </c>
      <c r="I47" s="72"/>
      <c r="J47" s="198">
        <f>P$1</f>
        <v>1.1200000000000001</v>
      </c>
      <c r="K47" s="81">
        <f>IFERROR(M47*L47,"")</f>
        <v>110</v>
      </c>
      <c r="L47" s="200">
        <f>IFERROR(VLOOKUP(C47,元件库!$B:$O,10,FALSE),"1.00")</f>
        <v>1</v>
      </c>
      <c r="M47" s="201">
        <f>IFERROR(VLOOKUP(C47,元件库!$B:$O,11,FALSE),"")</f>
        <v>110</v>
      </c>
      <c r="N47" s="205" t="str">
        <f t="shared" ca="1" si="10"/>
        <v/>
      </c>
      <c r="O47" s="305"/>
      <c r="P47" s="217"/>
      <c r="Q47" s="217"/>
      <c r="R47" s="206"/>
      <c r="S47" s="206"/>
      <c r="T47" s="206"/>
    </row>
    <row r="48" spans="1:20" s="343" customFormat="1" ht="16.5" customHeight="1" x14ac:dyDescent="0.2">
      <c r="A48" s="38">
        <f>COUNTIF($J$1:J48,"!")</f>
        <v>2</v>
      </c>
      <c r="B48" s="68" t="str">
        <f>IFERROR(VLOOKUP(C48,元件库!$B:$O,3,FALSE),"")</f>
        <v>加热器</v>
      </c>
      <c r="C48" s="64" t="s">
        <v>101</v>
      </c>
      <c r="D48" s="155" t="str">
        <f>IFERROR(VLOOKUP(C48,元件库!$B:$O,2,FALSE),"")</f>
        <v>实德电气</v>
      </c>
      <c r="E48" s="65" t="s">
        <v>29</v>
      </c>
      <c r="F48" s="65">
        <v>5</v>
      </c>
      <c r="G48" s="42">
        <f t="shared" ref="G48:G55" si="15">IFERROR(J48*K48,"")</f>
        <v>20.160000000000004</v>
      </c>
      <c r="H48" s="42">
        <f t="shared" ref="H48:H55" si="16">IFERROR(G48*F48,"")</f>
        <v>100.80000000000001</v>
      </c>
      <c r="I48" s="72"/>
      <c r="J48" s="198">
        <f t="shared" ref="J48:J55" si="17">P$1</f>
        <v>1.1200000000000001</v>
      </c>
      <c r="K48" s="81">
        <f t="shared" ref="K48:K55" si="18">IFERROR(M48*L48,"")</f>
        <v>18</v>
      </c>
      <c r="L48" s="200">
        <f>IFERROR(VLOOKUP(C48,元件库!$B:$O,10,FALSE),"1.00")</f>
        <v>1</v>
      </c>
      <c r="M48" s="201">
        <f>IFERROR(VLOOKUP(C48,元件库!$B:$O,11,FALSE),"")</f>
        <v>18</v>
      </c>
      <c r="N48" s="205" t="str">
        <f t="shared" ca="1" si="10"/>
        <v/>
      </c>
      <c r="O48" s="305"/>
      <c r="P48" s="217"/>
      <c r="Q48" s="217"/>
      <c r="R48" s="206"/>
      <c r="S48" s="206"/>
      <c r="T48" s="206"/>
    </row>
    <row r="49" spans="1:20" s="343" customFormat="1" ht="16.5" customHeight="1" x14ac:dyDescent="0.2">
      <c r="A49" s="38">
        <f>COUNTIF($J$1:J49,"!")</f>
        <v>2</v>
      </c>
      <c r="B49" s="204" t="s">
        <v>102</v>
      </c>
      <c r="C49" s="342" t="s">
        <v>103</v>
      </c>
      <c r="D49" s="203" t="s">
        <v>3242</v>
      </c>
      <c r="E49" s="196" t="s">
        <v>23</v>
      </c>
      <c r="F49" s="196">
        <v>4</v>
      </c>
      <c r="G49" s="42">
        <f t="shared" si="15"/>
        <v>268.8</v>
      </c>
      <c r="H49" s="42">
        <f t="shared" si="16"/>
        <v>1075.2</v>
      </c>
      <c r="I49" s="197"/>
      <c r="J49" s="198">
        <f t="shared" si="17"/>
        <v>1.1200000000000001</v>
      </c>
      <c r="K49" s="199">
        <f t="shared" si="18"/>
        <v>240</v>
      </c>
      <c r="L49" s="200" t="str">
        <f>IFERROR(VLOOKUP(C49,元件库!$B:$O,10,FALSE),"1.00")</f>
        <v>1.00</v>
      </c>
      <c r="M49" s="201">
        <v>240</v>
      </c>
      <c r="N49" s="205" t="str">
        <f t="shared" ca="1" si="10"/>
        <v>值</v>
      </c>
      <c r="O49" s="220"/>
      <c r="P49" s="217"/>
      <c r="Q49" s="217"/>
      <c r="R49" s="206"/>
      <c r="S49" s="206"/>
      <c r="T49" s="206"/>
    </row>
    <row r="50" spans="1:20" s="343" customFormat="1" ht="16.5" customHeight="1" x14ac:dyDescent="0.2">
      <c r="A50" s="38">
        <f>COUNTIF($J$1:J50,"!")</f>
        <v>2</v>
      </c>
      <c r="B50" s="204" t="s">
        <v>2759</v>
      </c>
      <c r="C50" s="342" t="s">
        <v>2760</v>
      </c>
      <c r="D50" s="203" t="s">
        <v>3242</v>
      </c>
      <c r="E50" s="196" t="s">
        <v>2761</v>
      </c>
      <c r="F50" s="196">
        <v>1</v>
      </c>
      <c r="G50" s="42">
        <f t="shared" si="15"/>
        <v>3024.0000000000005</v>
      </c>
      <c r="H50" s="42">
        <f t="shared" si="16"/>
        <v>3024.0000000000005</v>
      </c>
      <c r="I50" s="197"/>
      <c r="J50" s="198">
        <f t="shared" si="17"/>
        <v>1.1200000000000001</v>
      </c>
      <c r="K50" s="199">
        <f t="shared" si="18"/>
        <v>2700</v>
      </c>
      <c r="L50" s="200" t="str">
        <f>IFERROR(VLOOKUP(C50,元件库!$B:$O,10,FALSE),"1.00")</f>
        <v>1.00</v>
      </c>
      <c r="M50" s="201">
        <v>2700</v>
      </c>
      <c r="N50" s="205" t="str">
        <f t="shared" ca="1" si="10"/>
        <v>值</v>
      </c>
      <c r="O50" s="220"/>
      <c r="P50" s="217"/>
      <c r="Q50" s="217"/>
      <c r="R50" s="206"/>
      <c r="S50" s="206"/>
      <c r="T50" s="206"/>
    </row>
    <row r="51" spans="1:20" s="343" customFormat="1" ht="16.5" customHeight="1" x14ac:dyDescent="0.2">
      <c r="A51" s="38">
        <f>COUNTIF($J$1:J51,"!")</f>
        <v>2</v>
      </c>
      <c r="B51" s="204" t="s">
        <v>104</v>
      </c>
      <c r="C51" s="342" t="s">
        <v>105</v>
      </c>
      <c r="D51" s="203" t="s">
        <v>3242</v>
      </c>
      <c r="E51" s="196" t="s">
        <v>48</v>
      </c>
      <c r="F51" s="196">
        <v>1</v>
      </c>
      <c r="G51" s="42">
        <f t="shared" si="15"/>
        <v>2912.0000000000005</v>
      </c>
      <c r="H51" s="42">
        <f t="shared" si="16"/>
        <v>2912.0000000000005</v>
      </c>
      <c r="I51" s="197"/>
      <c r="J51" s="198">
        <f t="shared" si="17"/>
        <v>1.1200000000000001</v>
      </c>
      <c r="K51" s="199">
        <f t="shared" si="18"/>
        <v>2600</v>
      </c>
      <c r="L51" s="200" t="str">
        <f>IFERROR(VLOOKUP(C51,元件库!$B:$O,10,FALSE),"1.00")</f>
        <v>1.00</v>
      </c>
      <c r="M51" s="201">
        <v>2600</v>
      </c>
      <c r="N51" s="205" t="str">
        <f t="shared" ca="1" si="10"/>
        <v>值</v>
      </c>
      <c r="O51" s="220"/>
      <c r="P51" s="217"/>
      <c r="Q51" s="217"/>
      <c r="R51" s="206"/>
      <c r="S51" s="206"/>
      <c r="T51" s="206"/>
    </row>
    <row r="52" spans="1:20" s="343" customFormat="1" ht="16.5" customHeight="1" x14ac:dyDescent="0.2">
      <c r="A52" s="38">
        <f>COUNTIF($J$1:J52,"!")</f>
        <v>2</v>
      </c>
      <c r="B52" s="204" t="s">
        <v>106</v>
      </c>
      <c r="C52" s="342" t="s">
        <v>2762</v>
      </c>
      <c r="D52" s="203" t="s">
        <v>3242</v>
      </c>
      <c r="E52" s="65" t="s">
        <v>39</v>
      </c>
      <c r="F52" s="196">
        <f>ROUND(SUM(F53:F54),0)</f>
        <v>12</v>
      </c>
      <c r="G52" s="42">
        <f t="shared" si="15"/>
        <v>134.4</v>
      </c>
      <c r="H52" s="42">
        <f t="shared" si="16"/>
        <v>1612.8000000000002</v>
      </c>
      <c r="I52" s="197"/>
      <c r="J52" s="198">
        <f t="shared" si="17"/>
        <v>1.1200000000000001</v>
      </c>
      <c r="K52" s="199">
        <f t="shared" si="18"/>
        <v>120</v>
      </c>
      <c r="L52" s="200" t="str">
        <f>IFERROR(VLOOKUP(C52,元件库!$B:$O,10,FALSE),"1.00")</f>
        <v>1.00</v>
      </c>
      <c r="M52" s="201">
        <v>120</v>
      </c>
      <c r="N52" s="205" t="str">
        <f t="shared" ca="1" si="10"/>
        <v>值</v>
      </c>
      <c r="O52" s="206"/>
      <c r="P52" s="217"/>
      <c r="Q52" s="217"/>
      <c r="R52" s="214"/>
      <c r="S52" s="214"/>
      <c r="T52" s="214"/>
    </row>
    <row r="53" spans="1:20" s="343" customFormat="1" ht="16.5" customHeight="1" x14ac:dyDescent="0.2">
      <c r="A53" s="38">
        <f>COUNTIF($J$1:J53,"!")</f>
        <v>2</v>
      </c>
      <c r="B53" s="68" t="str">
        <f>IFERROR(VLOOKUP(C53,元件库!$B:$O,3,FALSE),"")</f>
        <v>铜排</v>
      </c>
      <c r="C53" s="64" t="s">
        <v>2763</v>
      </c>
      <c r="D53" s="155" t="str">
        <f>IFERROR(VLOOKUP(C53,元件库!$B:$O,2,FALSE),"")</f>
        <v>欣利铜材</v>
      </c>
      <c r="E53" s="65" t="s">
        <v>39</v>
      </c>
      <c r="F53" s="65">
        <v>4.2</v>
      </c>
      <c r="G53" s="42">
        <f t="shared" si="15"/>
        <v>568.17600000000004</v>
      </c>
      <c r="H53" s="42">
        <f t="shared" si="16"/>
        <v>2386.3392000000003</v>
      </c>
      <c r="I53" s="72"/>
      <c r="J53" s="198">
        <f t="shared" si="17"/>
        <v>1.1200000000000001</v>
      </c>
      <c r="K53" s="81">
        <f t="shared" si="18"/>
        <v>507.29999999999995</v>
      </c>
      <c r="L53" s="200">
        <f>IFERROR(VLOOKUP(C53,元件库!$B:$O,10,FALSE),"1.00")</f>
        <v>1</v>
      </c>
      <c r="M53" s="201">
        <f>IFERROR(VLOOKUP(C53,元件库!$B:$O,11,FALSE),"")</f>
        <v>507.29999999999995</v>
      </c>
      <c r="N53" s="205" t="str">
        <f t="shared" ca="1" si="10"/>
        <v/>
      </c>
      <c r="O53" s="206"/>
      <c r="P53" s="217"/>
      <c r="Q53" s="217"/>
      <c r="R53" s="217"/>
      <c r="S53" s="217"/>
      <c r="T53" s="217"/>
    </row>
    <row r="54" spans="1:20" s="343" customFormat="1" ht="16.5" customHeight="1" x14ac:dyDescent="0.2">
      <c r="A54" s="38">
        <f>COUNTIF($J$1:J54,"!")</f>
        <v>2</v>
      </c>
      <c r="B54" s="68" t="str">
        <f>IFERROR(VLOOKUP(C54,元件库!$B:$O,3,FALSE),"")</f>
        <v>铜排</v>
      </c>
      <c r="C54" s="64" t="s">
        <v>72</v>
      </c>
      <c r="D54" s="155" t="str">
        <f>IFERROR(VLOOKUP(C54,元件库!$B:$O,2,FALSE),"")</f>
        <v>欣利铜材</v>
      </c>
      <c r="E54" s="65" t="s">
        <v>39</v>
      </c>
      <c r="F54" s="65">
        <v>8</v>
      </c>
      <c r="G54" s="42">
        <f t="shared" si="15"/>
        <v>272.72448000000003</v>
      </c>
      <c r="H54" s="42">
        <f t="shared" si="16"/>
        <v>2181.7958400000002</v>
      </c>
      <c r="I54" s="72"/>
      <c r="J54" s="198">
        <f t="shared" si="17"/>
        <v>1.1200000000000001</v>
      </c>
      <c r="K54" s="81">
        <f t="shared" si="18"/>
        <v>243.50399999999999</v>
      </c>
      <c r="L54" s="200">
        <f>IFERROR(VLOOKUP(C54,元件库!$B:$O,10,FALSE),"1.00")</f>
        <v>1</v>
      </c>
      <c r="M54" s="201">
        <f>IFERROR(VLOOKUP(C54,元件库!$B:$O,11,FALSE),"")</f>
        <v>243.50399999999999</v>
      </c>
      <c r="N54" s="205" t="str">
        <f t="shared" ca="1" si="10"/>
        <v/>
      </c>
      <c r="O54" s="214"/>
      <c r="P54" s="214"/>
      <c r="Q54" s="217"/>
      <c r="R54" s="217"/>
      <c r="S54" s="217"/>
      <c r="T54" s="217"/>
    </row>
    <row r="55" spans="1:20" s="343" customFormat="1" ht="16.5" customHeight="1" x14ac:dyDescent="0.2">
      <c r="A55" s="38">
        <f>COUNTIF($J$1:J55,"!")</f>
        <v>2</v>
      </c>
      <c r="B55" s="68" t="str">
        <f>IFERROR(VLOOKUP(C55,元件库!$B:$O,3,FALSE),"")</f>
        <v>铜排</v>
      </c>
      <c r="C55" s="64" t="s">
        <v>56</v>
      </c>
      <c r="D55" s="155" t="str">
        <f>IFERROR(VLOOKUP(C55,元件库!$B:$O,2,FALSE),"")</f>
        <v>欣利铜材</v>
      </c>
      <c r="E55" s="65" t="s">
        <v>39</v>
      </c>
      <c r="F55" s="65">
        <v>6</v>
      </c>
      <c r="G55" s="42">
        <f t="shared" si="15"/>
        <v>142.04400000000001</v>
      </c>
      <c r="H55" s="42">
        <f t="shared" si="16"/>
        <v>852.26400000000012</v>
      </c>
      <c r="I55" s="72"/>
      <c r="J55" s="198">
        <f t="shared" si="17"/>
        <v>1.1200000000000001</v>
      </c>
      <c r="K55" s="81">
        <f t="shared" si="18"/>
        <v>126.82499999999999</v>
      </c>
      <c r="L55" s="200">
        <f>IFERROR(VLOOKUP(C55,元件库!$B:$O,10,FALSE),"1.00")</f>
        <v>1</v>
      </c>
      <c r="M55" s="201">
        <f>IFERROR(VLOOKUP(C55,元件库!$B:$O,11,FALSE),"")</f>
        <v>126.82499999999999</v>
      </c>
      <c r="N55" s="205" t="str">
        <f t="shared" ca="1" si="10"/>
        <v/>
      </c>
      <c r="O55" s="214"/>
      <c r="P55" s="218"/>
      <c r="Q55" s="218"/>
      <c r="R55" s="218"/>
      <c r="S55" s="218"/>
      <c r="T55" s="218"/>
    </row>
    <row r="56" spans="1:20" ht="16.5" customHeight="1" x14ac:dyDescent="0.2">
      <c r="A56" s="38">
        <f>COUNTIF($J$1:J56,"!")</f>
        <v>2</v>
      </c>
      <c r="B56" s="207" t="s">
        <v>107</v>
      </c>
      <c r="C56" s="195"/>
      <c r="D56" s="196"/>
      <c r="E56" s="196"/>
      <c r="F56" s="196"/>
      <c r="G56" s="42"/>
      <c r="H56" s="42"/>
      <c r="I56" s="306">
        <f>SUM(H32:H56)</f>
        <v>103210.39904000002</v>
      </c>
      <c r="J56" s="198"/>
      <c r="K56" s="199"/>
      <c r="L56" s="200"/>
      <c r="M56" s="201"/>
      <c r="O56" s="214"/>
      <c r="P56" s="218"/>
      <c r="Q56" s="218"/>
      <c r="R56" s="218"/>
      <c r="S56" s="218"/>
      <c r="T56" s="218"/>
    </row>
    <row r="57" spans="1:20" ht="16.5" customHeight="1" x14ac:dyDescent="0.2">
      <c r="A57" s="38">
        <f>COUNTIF($J$1:J57,"!")</f>
        <v>2</v>
      </c>
      <c r="B57" s="219" t="s">
        <v>47</v>
      </c>
      <c r="C57" s="195"/>
      <c r="D57" s="196"/>
      <c r="E57" s="196"/>
      <c r="F57" s="196"/>
      <c r="G57" s="42"/>
      <c r="H57" s="42">
        <f>IFERROR(J57*K57,"")</f>
        <v>3360.0000000000005</v>
      </c>
      <c r="I57" s="197"/>
      <c r="J57" s="198">
        <f>P$1</f>
        <v>1.1200000000000001</v>
      </c>
      <c r="K57" s="81">
        <f t="shared" ref="K57:K59" si="19">IFERROR(M57*L57,"")</f>
        <v>3000</v>
      </c>
      <c r="L57" s="200" t="str">
        <f>IFERROR(VLOOKUP(C57,元件库!$B:$O,10,FALSE),"1.00")</f>
        <v>1.00</v>
      </c>
      <c r="M57" s="201">
        <v>3000</v>
      </c>
      <c r="O57" s="214"/>
      <c r="P57" s="218"/>
      <c r="Q57" s="218"/>
      <c r="R57" s="218"/>
      <c r="S57" s="218"/>
      <c r="T57" s="218"/>
    </row>
    <row r="58" spans="1:20" s="206" customFormat="1" ht="16.5" customHeight="1" x14ac:dyDescent="0.2">
      <c r="A58" s="38">
        <f>COUNTIF($J$1:J58,"!")</f>
        <v>2</v>
      </c>
      <c r="B58" s="219" t="s">
        <v>49</v>
      </c>
      <c r="C58" s="195"/>
      <c r="D58" s="196"/>
      <c r="E58" s="196"/>
      <c r="F58" s="196"/>
      <c r="G58" s="42"/>
      <c r="H58" s="42">
        <f>IFERROR(J58*K58,"")</f>
        <v>1344.0000000000002</v>
      </c>
      <c r="I58" s="197"/>
      <c r="J58" s="198">
        <f>P$1</f>
        <v>1.1200000000000001</v>
      </c>
      <c r="K58" s="81">
        <f t="shared" si="19"/>
        <v>1200</v>
      </c>
      <c r="L58" s="200" t="str">
        <f>IFERROR(VLOOKUP(C58,元件库!$B:$O,10,FALSE),"1.00")</f>
        <v>1.00</v>
      </c>
      <c r="M58" s="201">
        <v>1200</v>
      </c>
      <c r="N58" s="220"/>
      <c r="O58" s="214"/>
      <c r="P58" s="218"/>
      <c r="Q58" s="218"/>
      <c r="R58" s="218"/>
      <c r="S58" s="218"/>
      <c r="T58" s="218"/>
    </row>
    <row r="59" spans="1:20" s="206" customFormat="1" ht="16.5" customHeight="1" x14ac:dyDescent="0.2">
      <c r="A59" s="38">
        <f>COUNTIF($J$1:J59,"!")</f>
        <v>2</v>
      </c>
      <c r="B59" s="219" t="s">
        <v>50</v>
      </c>
      <c r="C59" s="195"/>
      <c r="D59" s="196"/>
      <c r="E59" s="196"/>
      <c r="F59" s="196"/>
      <c r="G59" s="42"/>
      <c r="H59" s="42">
        <f>IFERROR(J59*K59,"")</f>
        <v>560</v>
      </c>
      <c r="I59" s="197"/>
      <c r="J59" s="198">
        <f>P$1</f>
        <v>1.1200000000000001</v>
      </c>
      <c r="K59" s="81">
        <f t="shared" si="19"/>
        <v>500</v>
      </c>
      <c r="L59" s="200" t="str">
        <f>IFERROR(VLOOKUP(C59,元件库!$B:$O,10,FALSE),"1.00")</f>
        <v>1.00</v>
      </c>
      <c r="M59" s="201">
        <v>500</v>
      </c>
      <c r="N59" s="220"/>
      <c r="O59" s="214"/>
      <c r="P59" s="218"/>
      <c r="Q59" s="218"/>
      <c r="R59" s="218"/>
      <c r="S59" s="218"/>
      <c r="T59" s="218"/>
    </row>
    <row r="60" spans="1:20" s="206" customFormat="1" ht="16.5" customHeight="1" x14ac:dyDescent="0.2">
      <c r="A60" s="38">
        <f>COUNTIF($J$1:J60,"!")</f>
        <v>2</v>
      </c>
      <c r="B60" s="219" t="s">
        <v>79</v>
      </c>
      <c r="C60" s="195"/>
      <c r="D60" s="196"/>
      <c r="E60" s="196"/>
      <c r="F60" s="196"/>
      <c r="G60" s="42"/>
      <c r="H60" s="42">
        <f>K60*L60</f>
        <v>6508.4639424000006</v>
      </c>
      <c r="I60" s="197"/>
      <c r="J60" s="198"/>
      <c r="K60" s="199">
        <f>SUM(H57:H59)+I56</f>
        <v>108474.39904000002</v>
      </c>
      <c r="L60" s="275">
        <f>R$1</f>
        <v>0.06</v>
      </c>
      <c r="M60" s="201"/>
      <c r="N60" s="220"/>
      <c r="O60" s="214"/>
      <c r="P60" s="218"/>
      <c r="Q60" s="218"/>
      <c r="R60" s="218"/>
      <c r="S60" s="218"/>
      <c r="T60" s="218"/>
    </row>
    <row r="61" spans="1:20" ht="16.5" customHeight="1" x14ac:dyDescent="0.2">
      <c r="A61" s="38">
        <f>COUNTIF($J$1:J61,"!")</f>
        <v>2</v>
      </c>
      <c r="B61" s="219" t="s">
        <v>108</v>
      </c>
      <c r="C61" s="195"/>
      <c r="D61" s="196"/>
      <c r="E61" s="196"/>
      <c r="F61" s="196"/>
      <c r="G61" s="209"/>
      <c r="H61" s="42">
        <f>K61*L61</f>
        <v>0</v>
      </c>
      <c r="I61" s="197"/>
      <c r="J61" s="198"/>
      <c r="K61" s="199">
        <f>H60+K60</f>
        <v>114982.86298240002</v>
      </c>
      <c r="L61" s="275">
        <f>T$1</f>
        <v>0</v>
      </c>
      <c r="M61" s="201"/>
      <c r="O61" s="214"/>
      <c r="P61" s="218"/>
      <c r="Q61" s="218"/>
      <c r="R61" s="218"/>
      <c r="S61" s="218"/>
      <c r="T61" s="218"/>
    </row>
    <row r="62" spans="1:20" s="157" customFormat="1" ht="16.5" customHeight="1" x14ac:dyDescent="0.15">
      <c r="A62" s="32">
        <f>COUNTIF($J$1:J62,"!")</f>
        <v>3</v>
      </c>
      <c r="B62" s="33" t="s">
        <v>159</v>
      </c>
      <c r="C62" s="277"/>
      <c r="D62" s="159"/>
      <c r="E62" s="34" t="s">
        <v>23</v>
      </c>
      <c r="F62" s="159">
        <v>1</v>
      </c>
      <c r="G62" s="36">
        <f>ROUND(SUMIF(A63:A69,A62,H63:H69),0)</f>
        <v>31021</v>
      </c>
      <c r="H62" s="160" t="str">
        <f>IF(ISNUMBER(FIND(" ",C63)),MID(C63,1,FIND(" ",C63)-1),IF(ISNUMBER(FIND("电容柜",B62)),"GGJ",MID(C63,1,FIND("-",C63)-1)))</f>
        <v>DFW</v>
      </c>
      <c r="I62" s="47" t="str">
        <f>MID(C63,IF(LEN(C63)-LEN(H62)&gt;3,LEN(H62)+2,1),30)</f>
        <v>3200*3200*3000</v>
      </c>
      <c r="J62" s="48" t="s">
        <v>24</v>
      </c>
      <c r="K62" s="49"/>
      <c r="L62" s="50"/>
      <c r="M62" s="51"/>
      <c r="N62" s="172"/>
      <c r="O62" s="161"/>
      <c r="P62" s="162"/>
      <c r="Q62" s="162"/>
    </row>
    <row r="63" spans="1:20" s="157" customFormat="1" ht="16.5" customHeight="1" x14ac:dyDescent="0.2">
      <c r="A63" s="38">
        <f>COUNTIF($J$1:J63,"!")</f>
        <v>3</v>
      </c>
      <c r="B63" s="163" t="s">
        <v>25</v>
      </c>
      <c r="C63" s="164" t="s">
        <v>2764</v>
      </c>
      <c r="D63" s="165" t="s">
        <v>3242</v>
      </c>
      <c r="E63" s="166" t="s">
        <v>29</v>
      </c>
      <c r="F63" s="166">
        <v>1</v>
      </c>
      <c r="G63" s="42">
        <f>IFERROR(J63*K63,"")</f>
        <v>27697.152000000006</v>
      </c>
      <c r="H63" s="42">
        <f>IFERROR(G63*F63,"")</f>
        <v>27697.152000000006</v>
      </c>
      <c r="I63" s="167"/>
      <c r="J63" s="168">
        <f>P$1</f>
        <v>1.1200000000000001</v>
      </c>
      <c r="K63" s="169">
        <f>IFERROR(M63*L63,"")</f>
        <v>24729.600000000002</v>
      </c>
      <c r="L63" s="170" t="str">
        <f>IFERROR(VLOOKUP(C63,元件库!$B:$O,10,FALSE),"1.00")</f>
        <v>1.00</v>
      </c>
      <c r="M63" s="171">
        <f>P63*Q63</f>
        <v>24729.600000000002</v>
      </c>
      <c r="N63" s="172" t="str">
        <f t="shared" ref="N63" ca="1" si="20">IF(AND(ISNUMBER(FIND("IF",_xlfn.FORMULATEXT(L63))),ISNUMBER(FIND("IF",_xlfn.FORMULATEXT(M63)))),"","值")</f>
        <v>值</v>
      </c>
      <c r="P63" s="157">
        <v>420</v>
      </c>
      <c r="Q63" s="161">
        <f>IFERROR(((MID(C63,FIND("-",C63)+1,FIND("*",C63)-FIND("-",C63)-1)*MID(C63,FIND("*",C63)+1,FIND("*",MID(C63,FIND("*",C63)+1,30))-1))+(MID(C63,FIND("-",C63)+1,FIND("*",C63)-FIND("-",C63)-1)*MID(C63,FIND("*",C63)+1+FIND("*",MID(C63,FIND("*",C63)+1,30)),30))+(MID(C63,FIND("*",C63)+1,FIND("*",MID(C63,FIND("*",C63)+1,30))-1)*MID(C63,FIND("*",C63)+1+FIND("*",MID(C63,FIND("*",C63)+1,30)),30)))/500000,"")</f>
        <v>58.88</v>
      </c>
      <c r="R63" s="161"/>
      <c r="S63" s="161"/>
      <c r="T63" s="161"/>
    </row>
    <row r="64" spans="1:20" s="157" customFormat="1" ht="16.5" customHeight="1" x14ac:dyDescent="0.2">
      <c r="A64" s="38">
        <f>COUNTIF($J$1:J64,"!")</f>
        <v>3</v>
      </c>
      <c r="B64" s="177" t="s">
        <v>107</v>
      </c>
      <c r="C64" s="164"/>
      <c r="D64" s="166"/>
      <c r="E64" s="166"/>
      <c r="F64" s="166"/>
      <c r="G64" s="42"/>
      <c r="H64" s="42"/>
      <c r="I64" s="178">
        <f>SUM(H63:H64)</f>
        <v>27697.152000000006</v>
      </c>
      <c r="J64" s="168"/>
      <c r="K64" s="169"/>
      <c r="L64" s="170"/>
      <c r="M64" s="171"/>
      <c r="N64" s="172"/>
      <c r="O64" s="161"/>
      <c r="P64" s="162"/>
      <c r="Q64" s="162"/>
      <c r="R64" s="161"/>
      <c r="S64" s="161"/>
      <c r="T64" s="161"/>
    </row>
    <row r="65" spans="1:20" s="157" customFormat="1" ht="16.5" customHeight="1" x14ac:dyDescent="0.2">
      <c r="A65" s="38">
        <f>COUNTIF($J$1:J65,"!")</f>
        <v>3</v>
      </c>
      <c r="B65" s="179" t="s">
        <v>47</v>
      </c>
      <c r="C65" s="164"/>
      <c r="D65" s="166"/>
      <c r="E65" s="166"/>
      <c r="F65" s="166"/>
      <c r="G65" s="42"/>
      <c r="H65" s="42">
        <f>IFERROR(J65*K65,"")</f>
        <v>896.00000000000011</v>
      </c>
      <c r="I65" s="167"/>
      <c r="J65" s="168">
        <f>P$1</f>
        <v>1.1200000000000001</v>
      </c>
      <c r="K65" s="169">
        <f t="shared" ref="K65:K67" si="21">IFERROR(M65*L65,"")</f>
        <v>800</v>
      </c>
      <c r="L65" s="170" t="str">
        <f>IFERROR(VLOOKUP(C65,元件库!$B:$O,10,FALSE),"1.00")</f>
        <v>1.00</v>
      </c>
      <c r="M65" s="171">
        <v>800</v>
      </c>
      <c r="N65" s="172"/>
      <c r="O65" s="161"/>
      <c r="P65" s="162"/>
      <c r="Q65" s="162"/>
      <c r="R65" s="161"/>
      <c r="S65" s="161"/>
      <c r="T65" s="161"/>
    </row>
    <row r="66" spans="1:20" s="161" customFormat="1" ht="16.5" customHeight="1" x14ac:dyDescent="0.2">
      <c r="A66" s="38">
        <f>COUNTIF($J$1:J66,"!")</f>
        <v>3</v>
      </c>
      <c r="B66" s="179" t="s">
        <v>49</v>
      </c>
      <c r="C66" s="164"/>
      <c r="D66" s="166"/>
      <c r="E66" s="166"/>
      <c r="F66" s="166"/>
      <c r="G66" s="42"/>
      <c r="H66" s="42">
        <f>IFERROR(J66*K66,"")</f>
        <v>336.00000000000006</v>
      </c>
      <c r="I66" s="167"/>
      <c r="J66" s="168">
        <f>P$1</f>
        <v>1.1200000000000001</v>
      </c>
      <c r="K66" s="169">
        <f t="shared" si="21"/>
        <v>300</v>
      </c>
      <c r="L66" s="170" t="str">
        <f>IFERROR(VLOOKUP(C66,元件库!$B:$O,10,FALSE),"1.00")</f>
        <v>1.00</v>
      </c>
      <c r="M66" s="171">
        <v>300</v>
      </c>
      <c r="N66" s="172"/>
      <c r="O66" s="181"/>
      <c r="P66" s="162"/>
      <c r="Q66" s="162"/>
      <c r="R66" s="157"/>
      <c r="S66" s="157"/>
      <c r="T66" s="157"/>
    </row>
    <row r="67" spans="1:20" s="161" customFormat="1" ht="16.5" customHeight="1" x14ac:dyDescent="0.2">
      <c r="A67" s="38">
        <f>COUNTIF($J$1:J67,"!")</f>
        <v>3</v>
      </c>
      <c r="B67" s="179" t="s">
        <v>50</v>
      </c>
      <c r="C67" s="164"/>
      <c r="D67" s="166"/>
      <c r="E67" s="166"/>
      <c r="F67" s="166"/>
      <c r="G67" s="42"/>
      <c r="H67" s="42">
        <f>IFERROR(J67*K67,"")</f>
        <v>336.00000000000006</v>
      </c>
      <c r="I67" s="167"/>
      <c r="J67" s="168">
        <f>P$1</f>
        <v>1.1200000000000001</v>
      </c>
      <c r="K67" s="169">
        <f t="shared" si="21"/>
        <v>300</v>
      </c>
      <c r="L67" s="170" t="str">
        <f>IFERROR(VLOOKUP(C67,元件库!$B:$O,10,FALSE),"1.00")</f>
        <v>1.00</v>
      </c>
      <c r="M67" s="171">
        <v>300</v>
      </c>
      <c r="N67" s="172"/>
      <c r="O67" s="181"/>
      <c r="P67" s="162"/>
      <c r="Q67" s="162"/>
      <c r="R67" s="162"/>
      <c r="S67" s="162"/>
      <c r="T67" s="162"/>
    </row>
    <row r="68" spans="1:20" s="161" customFormat="1" ht="16.5" customHeight="1" x14ac:dyDescent="0.2">
      <c r="A68" s="38">
        <f>COUNTIF($J$1:J68,"!")</f>
        <v>3</v>
      </c>
      <c r="B68" s="179" t="s">
        <v>79</v>
      </c>
      <c r="C68" s="164"/>
      <c r="D68" s="166"/>
      <c r="E68" s="166"/>
      <c r="F68" s="166"/>
      <c r="G68" s="42"/>
      <c r="H68" s="42">
        <f>K68*L68</f>
        <v>1755.9091200000003</v>
      </c>
      <c r="I68" s="167"/>
      <c r="J68" s="168"/>
      <c r="K68" s="169">
        <f>SUM(H65:H67)+I64</f>
        <v>29265.152000000006</v>
      </c>
      <c r="L68" s="279">
        <f>R$1</f>
        <v>0.06</v>
      </c>
      <c r="M68" s="171"/>
      <c r="N68" s="172"/>
      <c r="O68" s="181"/>
      <c r="P68" s="157"/>
      <c r="Q68" s="162"/>
      <c r="R68" s="162"/>
      <c r="S68" s="162"/>
      <c r="T68" s="162"/>
    </row>
    <row r="69" spans="1:20" s="157" customFormat="1" ht="16.5" customHeight="1" x14ac:dyDescent="0.2">
      <c r="A69" s="38">
        <f>COUNTIF($J$1:J69,"!")</f>
        <v>3</v>
      </c>
      <c r="B69" s="179" t="s">
        <v>108</v>
      </c>
      <c r="C69" s="164"/>
      <c r="D69" s="166"/>
      <c r="E69" s="166"/>
      <c r="F69" s="166"/>
      <c r="G69" s="184"/>
      <c r="H69" s="42">
        <f>K69*L69</f>
        <v>0</v>
      </c>
      <c r="I69" s="167"/>
      <c r="J69" s="168"/>
      <c r="K69" s="169">
        <f>H68+K68</f>
        <v>31021.061120000006</v>
      </c>
      <c r="L69" s="279">
        <f>T$1</f>
        <v>0</v>
      </c>
      <c r="M69" s="171"/>
      <c r="N69" s="172"/>
      <c r="O69" s="161"/>
      <c r="P69" s="175"/>
      <c r="Q69" s="175"/>
      <c r="R69" s="175"/>
      <c r="S69" s="175"/>
      <c r="T69" s="175"/>
    </row>
  </sheetData>
  <autoFilter ref="A1:M88"/>
  <phoneticPr fontId="25" type="noConversion"/>
  <pageMargins left="0.39370078740157483" right="0.39370078740157483" top="0.59055118110236227" bottom="0.59055118110236227" header="0.31496062992125984" footer="0.31496062992125984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OFFSET(元件库!$B$1,MATCH(C2&amp;"*",元件库!$B:$B,0)-1,,IF(COUNTIF(元件库!$B:$B,C2&amp;"*")&gt;1,40,1))</xm:f>
          </x14:formula1>
          <xm:sqref>C2:C69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3"/>
  <dimension ref="A1:W29"/>
  <sheetViews>
    <sheetView workbookViewId="0">
      <pane ySplit="1" topLeftCell="A2" activePane="bottomLeft" state="frozen"/>
      <selection activeCell="C27" sqref="C27"/>
      <selection pane="bottomLeft" activeCell="C26" sqref="C26"/>
    </sheetView>
  </sheetViews>
  <sheetFormatPr defaultColWidth="7" defaultRowHeight="12" x14ac:dyDescent="0.2"/>
  <cols>
    <col min="1" max="1" width="3.625" style="25" customWidth="1"/>
    <col min="2" max="2" width="14.125" style="154" customWidth="1"/>
    <col min="3" max="3" width="22.125" style="26" customWidth="1"/>
    <col min="4" max="4" width="11.125" style="27" customWidth="1"/>
    <col min="5" max="6" width="4.125" style="27" customWidth="1"/>
    <col min="7" max="8" width="9.625" style="28" customWidth="1"/>
    <col min="9" max="9" width="14.625" style="29" customWidth="1"/>
    <col min="10" max="10" width="4.625" style="25" customWidth="1"/>
    <col min="11" max="11" width="8.125" style="28" customWidth="1"/>
    <col min="12" max="12" width="5.125" style="28" customWidth="1"/>
    <col min="13" max="13" width="8.125" style="28" customWidth="1"/>
    <col min="14" max="14" width="3.625" style="28" customWidth="1"/>
    <col min="15" max="15" width="4.625" style="24" customWidth="1"/>
    <col min="16" max="16" width="4.625" style="2" customWidth="1"/>
    <col min="17" max="17" width="4.625" style="24" customWidth="1"/>
    <col min="18" max="20" width="4.625" style="31" customWidth="1"/>
    <col min="21" max="23" width="4.625" style="30" customWidth="1"/>
    <col min="24" max="16384" width="7" style="30"/>
  </cols>
  <sheetData>
    <row r="1" spans="1:23" s="214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8" t="s">
        <v>140</v>
      </c>
      <c r="O1" s="281" t="s">
        <v>18</v>
      </c>
      <c r="P1" s="282">
        <v>1.1200000000000001</v>
      </c>
      <c r="Q1" s="281" t="s">
        <v>2342</v>
      </c>
      <c r="R1" s="282">
        <v>0.06</v>
      </c>
      <c r="S1" s="282" t="s">
        <v>80</v>
      </c>
      <c r="T1" s="282">
        <v>0</v>
      </c>
    </row>
    <row r="2" spans="1:23" ht="16.5" customHeight="1" x14ac:dyDescent="0.15">
      <c r="A2" s="32">
        <f>COUNTIF($J$1:J2,"!")</f>
        <v>1</v>
      </c>
      <c r="B2" s="33" t="s">
        <v>121</v>
      </c>
      <c r="C2" s="63" t="s">
        <v>2164</v>
      </c>
      <c r="D2" s="35"/>
      <c r="E2" s="34" t="s">
        <v>23</v>
      </c>
      <c r="F2" s="35">
        <v>8</v>
      </c>
      <c r="G2" s="36">
        <f ca="1">ROUND(SUMIF(A2:A29,A2,H3:H29),0)</f>
        <v>212408</v>
      </c>
      <c r="H2" s="37" t="str">
        <f>IF(ISNUMBER(FIND(" ",C3)),MID(C3,1,FIND(" ",C3)-1),MID(C3,1,FIND("-",C3)-1))</f>
        <v>TBB10</v>
      </c>
      <c r="I2" s="47" t="str">
        <f>MID(C3,IF(LEN(C3)-LEN(H2)&gt;3,LEN(H2)+2,1),30)</f>
        <v>1200*1500*2200</v>
      </c>
      <c r="J2" s="48" t="s">
        <v>24</v>
      </c>
      <c r="K2" s="49"/>
      <c r="L2" s="50"/>
      <c r="M2" s="51"/>
      <c r="N2" s="79"/>
      <c r="P2" s="24"/>
    </row>
    <row r="3" spans="1:23" ht="16.5" customHeight="1" x14ac:dyDescent="0.2">
      <c r="A3" s="38">
        <f>COUNTIF($J$1:J3,"!")</f>
        <v>1</v>
      </c>
      <c r="B3" s="39" t="str">
        <f>IFERROR(VLOOKUP(C3,元件库!$B:$O,3,FALSE),"")</f>
        <v/>
      </c>
      <c r="C3" s="43" t="s">
        <v>2156</v>
      </c>
      <c r="D3" s="101" t="str">
        <f>IFERROR(VLOOKUP(C3,元件库!$B:$O,2,FALSE),"")</f>
        <v/>
      </c>
      <c r="E3" s="41" t="s">
        <v>29</v>
      </c>
      <c r="F3" s="41">
        <v>1</v>
      </c>
      <c r="G3" s="42" t="str">
        <f t="shared" ref="G3:G23" si="0">IFERROR(J3*K3,"")</f>
        <v/>
      </c>
      <c r="H3" s="42" t="str">
        <f t="shared" ref="H3:H23" si="1">IFERROR(G3*F3,"")</f>
        <v/>
      </c>
      <c r="I3" s="52"/>
      <c r="J3" s="53">
        <f>P$1</f>
        <v>1.1200000000000001</v>
      </c>
      <c r="K3" s="54" t="str">
        <f t="shared" ref="K3:K23" si="2">IFERROR(M3*L3,"")</f>
        <v/>
      </c>
      <c r="L3" s="55" t="str">
        <f>IFERROR(VLOOKUP(C3,元件库!$B:$O,10,FALSE),"1.00")</f>
        <v>1.00</v>
      </c>
      <c r="M3" s="56" t="str">
        <f>IFERROR(VLOOKUP(C3,元件库!$B:$O,11,FALSE),"")</f>
        <v/>
      </c>
      <c r="N3" s="57" t="str">
        <f t="shared" ref="N3:N23" ca="1" si="3">IF(AND(ISNUMBER(FIND("IF",_xlfn.FORMULATEXT(L3))),ISNUMBER(FIND("IF",_xlfn.FORMULATEXT(M3)))),"","值")</f>
        <v/>
      </c>
      <c r="O3" s="30"/>
      <c r="P3" s="30"/>
      <c r="Q3" s="24" t="str">
        <f>IFERROR(((MID(C3,FIND(" ",C3)+1,FIND("*",C3)-FIND(" ",C3)-1)*MID(C3,FIND("*",C3)+1,FIND("*",MID(C3,FIND("*",C3)+1,30))-1))+(MID(C3,FIND(" ",C3)+1,FIND("*",C3)-FIND(" ",C3)-1)*MID(C3,FIND("*",C3)+1+FIND("*",MID(C3,FIND("*",C3)+1,30)),30))+(MID(C3,FIND("*",C3)+1,FIND("*",MID(C3,FIND("*",C3)+1,30))-1)*MID(C3,FIND("*",C3)+1+FIND("*",MID(C3,FIND("*",C3)+1,30)),30)))/500000+IFERROR(IF(ROUND(MID(C3,FIND("*",C3)+FIND("*",MID(C3,FIND("*",C3)+1,30))+1,10),0)&gt;=350,(MID(C3,FIND(" ",C3)+1,FIND("*",C3)-FIND(" ",C3)-1)*MID(C3,FIND("*",C3)+1,FIND("*",MID(C3,FIND("*",C3)+1,30))-1))/2000000,(MID(C3,FIND(" ",C3)+1,FIND("*",C3)-FIND(" ",C3)-1)*MID(C3,FIND("*",C3)+1,FIND("*",MID(C3,FIND("*",C3)+1,30))-1))/1000000),""),"")</f>
        <v/>
      </c>
      <c r="R3" s="30"/>
    </row>
    <row r="4" spans="1:23" s="60" customFormat="1" ht="16.5" customHeight="1" x14ac:dyDescent="0.2">
      <c r="A4" s="38">
        <f>COUNTIF($J$1:J4,"!")</f>
        <v>1</v>
      </c>
      <c r="B4" s="39" t="s">
        <v>2157</v>
      </c>
      <c r="C4" s="43" t="s">
        <v>2158</v>
      </c>
      <c r="D4" s="101" t="s">
        <v>122</v>
      </c>
      <c r="E4" s="41" t="s">
        <v>29</v>
      </c>
      <c r="F4" s="41">
        <v>1</v>
      </c>
      <c r="G4" s="42">
        <f t="shared" si="0"/>
        <v>1400.0000000000002</v>
      </c>
      <c r="H4" s="42">
        <f t="shared" si="1"/>
        <v>1400.0000000000002</v>
      </c>
      <c r="I4" s="52"/>
      <c r="J4" s="53">
        <f t="shared" ref="J4:J27" si="4">P$1</f>
        <v>1.1200000000000001</v>
      </c>
      <c r="K4" s="54">
        <f t="shared" si="2"/>
        <v>1250</v>
      </c>
      <c r="L4" s="55" t="str">
        <f>IFERROR(VLOOKUP(C4,元件库!$B:$O,10,FALSE),"1.00")</f>
        <v>1.00</v>
      </c>
      <c r="M4" s="56">
        <v>1250</v>
      </c>
      <c r="N4" s="57" t="str">
        <f t="shared" ca="1" si="3"/>
        <v>值</v>
      </c>
      <c r="O4" s="30"/>
      <c r="P4" s="24"/>
      <c r="Q4" s="24"/>
    </row>
    <row r="5" spans="1:23" s="60" customFormat="1" ht="16.5" customHeight="1" x14ac:dyDescent="0.2">
      <c r="A5" s="38">
        <f>COUNTIF($J$1:J5,"!")</f>
        <v>1</v>
      </c>
      <c r="B5" s="39" t="s">
        <v>2161</v>
      </c>
      <c r="C5" s="43" t="s">
        <v>2159</v>
      </c>
      <c r="D5" s="101" t="s">
        <v>2160</v>
      </c>
      <c r="E5" s="41" t="s">
        <v>29</v>
      </c>
      <c r="F5" s="41">
        <v>1</v>
      </c>
      <c r="G5" s="42">
        <f t="shared" si="0"/>
        <v>180320.00000000003</v>
      </c>
      <c r="H5" s="42">
        <f t="shared" si="1"/>
        <v>180320.00000000003</v>
      </c>
      <c r="I5" s="52"/>
      <c r="J5" s="53">
        <f t="shared" si="4"/>
        <v>1.1200000000000001</v>
      </c>
      <c r="K5" s="54">
        <f t="shared" si="2"/>
        <v>161000</v>
      </c>
      <c r="L5" s="55" t="str">
        <f>IFERROR(VLOOKUP(C5,元件库!$B:$O,10,FALSE),"1.00")</f>
        <v>1.00</v>
      </c>
      <c r="M5" s="56">
        <v>161000</v>
      </c>
      <c r="N5" s="57" t="str">
        <f t="shared" ca="1" si="3"/>
        <v>值</v>
      </c>
      <c r="O5" s="30"/>
      <c r="P5" s="24"/>
      <c r="Q5" s="24"/>
    </row>
    <row r="6" spans="1:23" s="60" customFormat="1" ht="16.5" customHeight="1" x14ac:dyDescent="0.2">
      <c r="A6" s="38">
        <f>COUNTIF($J$1:J6,"!")</f>
        <v>1</v>
      </c>
      <c r="B6" s="39" t="s">
        <v>61</v>
      </c>
      <c r="C6" s="43" t="s">
        <v>2153</v>
      </c>
      <c r="D6" s="101" t="s">
        <v>2152</v>
      </c>
      <c r="E6" s="41" t="s">
        <v>29</v>
      </c>
      <c r="F6" s="41">
        <v>3</v>
      </c>
      <c r="G6" s="42">
        <f t="shared" si="0"/>
        <v>940.80000000000007</v>
      </c>
      <c r="H6" s="42">
        <f t="shared" si="1"/>
        <v>2822.4</v>
      </c>
      <c r="I6" s="52"/>
      <c r="J6" s="53">
        <f t="shared" si="4"/>
        <v>1.1200000000000001</v>
      </c>
      <c r="K6" s="54">
        <f t="shared" si="2"/>
        <v>840</v>
      </c>
      <c r="L6" s="55">
        <v>0.5</v>
      </c>
      <c r="M6" s="56">
        <v>1680</v>
      </c>
      <c r="N6" s="57" t="str">
        <f t="shared" ca="1" si="3"/>
        <v>值</v>
      </c>
      <c r="O6" s="30"/>
      <c r="P6" s="24"/>
      <c r="Q6" s="24"/>
    </row>
    <row r="7" spans="1:23" s="60" customFormat="1" ht="16.5" customHeight="1" x14ac:dyDescent="0.2">
      <c r="A7" s="38">
        <f>COUNTIF($J$1:J7,"!")</f>
        <v>1</v>
      </c>
      <c r="B7" s="39" t="s">
        <v>123</v>
      </c>
      <c r="C7" s="43" t="s">
        <v>124</v>
      </c>
      <c r="D7" s="101" t="s">
        <v>125</v>
      </c>
      <c r="E7" s="41" t="s">
        <v>29</v>
      </c>
      <c r="F7" s="41">
        <v>1</v>
      </c>
      <c r="G7" s="42">
        <f t="shared" si="0"/>
        <v>1344.0000000000002</v>
      </c>
      <c r="H7" s="42">
        <f t="shared" si="1"/>
        <v>1344.0000000000002</v>
      </c>
      <c r="I7" s="52"/>
      <c r="J7" s="53">
        <f t="shared" si="4"/>
        <v>1.1200000000000001</v>
      </c>
      <c r="K7" s="54">
        <f t="shared" si="2"/>
        <v>1200</v>
      </c>
      <c r="L7" s="55" t="str">
        <f>IFERROR(VLOOKUP(C7,元件库!$B:$O,10,FALSE),"1.00")</f>
        <v>1.00</v>
      </c>
      <c r="M7" s="56">
        <v>1200</v>
      </c>
      <c r="N7" s="57" t="str">
        <f t="shared" ca="1" si="3"/>
        <v>值</v>
      </c>
      <c r="O7" s="30"/>
      <c r="P7" s="24"/>
      <c r="Q7" s="24"/>
    </row>
    <row r="8" spans="1:23" s="23" customFormat="1" ht="16.5" customHeight="1" x14ac:dyDescent="0.2">
      <c r="A8" s="38">
        <f>COUNTIF($J$1:J8,"!")</f>
        <v>1</v>
      </c>
      <c r="B8" s="39" t="s">
        <v>1919</v>
      </c>
      <c r="C8" s="43" t="s">
        <v>2154</v>
      </c>
      <c r="D8" s="101" t="s">
        <v>2155</v>
      </c>
      <c r="E8" s="41" t="str">
        <f t="shared" ref="E8" si="5">IF(D8="欣利铜材","米",IF(B8="氧化锌避雷器","组","只"))</f>
        <v>只</v>
      </c>
      <c r="F8" s="41">
        <v>1</v>
      </c>
      <c r="G8" s="42">
        <f t="shared" si="0"/>
        <v>1865.92</v>
      </c>
      <c r="H8" s="42">
        <f t="shared" si="1"/>
        <v>1865.92</v>
      </c>
      <c r="I8" s="52"/>
      <c r="J8" s="53">
        <f t="shared" si="4"/>
        <v>1.1200000000000001</v>
      </c>
      <c r="K8" s="54">
        <f t="shared" si="2"/>
        <v>1666</v>
      </c>
      <c r="L8" s="55">
        <v>0.7</v>
      </c>
      <c r="M8" s="56">
        <v>2380</v>
      </c>
      <c r="N8" s="57" t="str">
        <f t="shared" ca="1" si="3"/>
        <v>值</v>
      </c>
      <c r="O8" s="30"/>
      <c r="W8" s="31"/>
    </row>
    <row r="9" spans="1:23" s="60" customFormat="1" ht="16.5" customHeight="1" x14ac:dyDescent="0.2">
      <c r="A9" s="38">
        <f>COUNTIF($J$1:J9,"!")</f>
        <v>1</v>
      </c>
      <c r="B9" s="39" t="s">
        <v>127</v>
      </c>
      <c r="C9" s="43" t="s">
        <v>128</v>
      </c>
      <c r="D9" s="101" t="s">
        <v>129</v>
      </c>
      <c r="E9" s="41" t="s">
        <v>29</v>
      </c>
      <c r="F9" s="41">
        <v>1</v>
      </c>
      <c r="G9" s="42">
        <f t="shared" si="0"/>
        <v>3360.0000000000005</v>
      </c>
      <c r="H9" s="42">
        <f t="shared" si="1"/>
        <v>3360.0000000000005</v>
      </c>
      <c r="I9" s="52"/>
      <c r="J9" s="53">
        <f t="shared" si="4"/>
        <v>1.1200000000000001</v>
      </c>
      <c r="K9" s="54">
        <f t="shared" si="2"/>
        <v>3000</v>
      </c>
      <c r="L9" s="55" t="str">
        <f>IFERROR(VLOOKUP(C9,元件库!$B:$O,10,FALSE),"1.00")</f>
        <v>1.00</v>
      </c>
      <c r="M9" s="56">
        <v>3000</v>
      </c>
      <c r="N9" s="57" t="str">
        <f t="shared" ca="1" si="3"/>
        <v>值</v>
      </c>
      <c r="O9" s="30"/>
      <c r="P9" s="24"/>
      <c r="Q9" s="24"/>
    </row>
    <row r="10" spans="1:23" s="60" customFormat="1" ht="16.5" customHeight="1" x14ac:dyDescent="0.2">
      <c r="A10" s="38">
        <f>COUNTIF($J$1:J10,"!")</f>
        <v>1</v>
      </c>
      <c r="B10" s="39" t="s">
        <v>131</v>
      </c>
      <c r="C10" s="43" t="s">
        <v>132</v>
      </c>
      <c r="D10" s="101" t="s">
        <v>133</v>
      </c>
      <c r="E10" s="41" t="s">
        <v>29</v>
      </c>
      <c r="F10" s="41">
        <v>3</v>
      </c>
      <c r="G10" s="42">
        <f t="shared" si="0"/>
        <v>896.00000000000011</v>
      </c>
      <c r="H10" s="42">
        <f t="shared" si="1"/>
        <v>2688.0000000000005</v>
      </c>
      <c r="I10" s="52"/>
      <c r="J10" s="53">
        <f t="shared" si="4"/>
        <v>1.1200000000000001</v>
      </c>
      <c r="K10" s="54">
        <f t="shared" si="2"/>
        <v>800</v>
      </c>
      <c r="L10" s="55" t="str">
        <f>IFERROR(VLOOKUP(C10,元件库!$B:$O,10,FALSE),"1.00")</f>
        <v>1.00</v>
      </c>
      <c r="M10" s="56">
        <v>800</v>
      </c>
      <c r="N10" s="57" t="str">
        <f t="shared" ca="1" si="3"/>
        <v>值</v>
      </c>
      <c r="O10" s="30"/>
      <c r="P10" s="24"/>
      <c r="Q10" s="24"/>
    </row>
    <row r="11" spans="1:23" s="60" customFormat="1" ht="16.5" customHeight="1" x14ac:dyDescent="0.2">
      <c r="A11" s="38">
        <f>COUNTIF($J$1:J11,"!")</f>
        <v>1</v>
      </c>
      <c r="B11" s="39" t="str">
        <f>IFERROR(VLOOKUP(C11,元件库!$B:$O,3,FALSE),"")</f>
        <v>高压熔断器</v>
      </c>
      <c r="C11" s="43" t="s">
        <v>2162</v>
      </c>
      <c r="D11" s="101" t="str">
        <f>IFERROR(VLOOKUP(C11,元件库!$B:$O,2,FALSE),"")</f>
        <v>上海智广</v>
      </c>
      <c r="E11" s="41" t="s">
        <v>29</v>
      </c>
      <c r="F11" s="41">
        <v>3</v>
      </c>
      <c r="G11" s="42">
        <f t="shared" ref="G11:G15" si="6">IFERROR(J11*K11,"")</f>
        <v>168.00000000000003</v>
      </c>
      <c r="H11" s="42">
        <f t="shared" ref="H11:H15" si="7">IFERROR(G11*F11,"")</f>
        <v>504.00000000000011</v>
      </c>
      <c r="I11" s="52"/>
      <c r="J11" s="53">
        <f t="shared" si="4"/>
        <v>1.1200000000000001</v>
      </c>
      <c r="K11" s="54">
        <f t="shared" ref="K11:K15" si="8">IFERROR(M11*L11,"")</f>
        <v>150</v>
      </c>
      <c r="L11" s="55">
        <f>IFERROR(VLOOKUP(C11,元件库!$B:$O,10,FALSE),"1.00")</f>
        <v>1</v>
      </c>
      <c r="M11" s="56">
        <f>IFERROR(VLOOKUP(C11,元件库!$B:$O,11,FALSE),"")</f>
        <v>150</v>
      </c>
      <c r="N11" s="57" t="str">
        <f t="shared" ca="1" si="3"/>
        <v/>
      </c>
      <c r="O11" s="30"/>
      <c r="P11" s="24"/>
      <c r="Q11" s="24"/>
    </row>
    <row r="12" spans="1:23" s="60" customFormat="1" ht="16.5" customHeight="1" x14ac:dyDescent="0.2">
      <c r="A12" s="38">
        <f>COUNTIF($J$1:J12,"!")</f>
        <v>1</v>
      </c>
      <c r="B12" s="39" t="s">
        <v>162</v>
      </c>
      <c r="C12" s="43" t="s">
        <v>2163</v>
      </c>
      <c r="D12" s="101" t="s">
        <v>1552</v>
      </c>
      <c r="E12" s="41" t="s">
        <v>29</v>
      </c>
      <c r="F12" s="41">
        <v>3</v>
      </c>
      <c r="G12" s="42">
        <f t="shared" si="6"/>
        <v>222.88000000000002</v>
      </c>
      <c r="H12" s="42">
        <f t="shared" si="7"/>
        <v>668.6400000000001</v>
      </c>
      <c r="I12" s="52"/>
      <c r="J12" s="53">
        <f t="shared" si="4"/>
        <v>1.1200000000000001</v>
      </c>
      <c r="K12" s="54">
        <f t="shared" si="8"/>
        <v>199</v>
      </c>
      <c r="L12" s="55">
        <v>0.5</v>
      </c>
      <c r="M12" s="56">
        <v>398</v>
      </c>
      <c r="N12" s="57" t="str">
        <f t="shared" ca="1" si="3"/>
        <v>值</v>
      </c>
      <c r="O12" s="30"/>
      <c r="P12" s="24"/>
      <c r="Q12" s="24"/>
    </row>
    <row r="13" spans="1:23" s="23" customFormat="1" ht="16.5" customHeight="1" x14ac:dyDescent="0.2">
      <c r="A13" s="38">
        <f>COUNTIF($J$1:J13,"!")</f>
        <v>1</v>
      </c>
      <c r="B13" s="39" t="str">
        <f>IFERROR(VLOOKUP(C13,元件库!$B:$O,3,FALSE),"")</f>
        <v>穿墙套管</v>
      </c>
      <c r="C13" s="43" t="s">
        <v>135</v>
      </c>
      <c r="D13" s="101" t="str">
        <f>IFERROR(VLOOKUP(C13,元件库!$B:$O,2,FALSE),"")</f>
        <v>福一开</v>
      </c>
      <c r="E13" s="41" t="str">
        <f t="shared" ref="E13:E15" si="9">IF(D13="欣利铜材","米",IF(B13="氧化锌避雷器","组","只"))</f>
        <v>只</v>
      </c>
      <c r="F13" s="41">
        <v>3</v>
      </c>
      <c r="G13" s="42">
        <f t="shared" si="6"/>
        <v>50.400000000000006</v>
      </c>
      <c r="H13" s="42">
        <f t="shared" si="7"/>
        <v>151.20000000000002</v>
      </c>
      <c r="I13" s="52"/>
      <c r="J13" s="53">
        <f t="shared" si="4"/>
        <v>1.1200000000000001</v>
      </c>
      <c r="K13" s="54">
        <f t="shared" si="8"/>
        <v>45</v>
      </c>
      <c r="L13" s="55">
        <f>IFERROR(VLOOKUP(C13,元件库!$B:$O,10,FALSE),"1.00")</f>
        <v>1</v>
      </c>
      <c r="M13" s="56">
        <f>IFERROR(VLOOKUP(C13,元件库!$B:$O,11,FALSE),"")</f>
        <v>45</v>
      </c>
      <c r="N13" s="57" t="str">
        <f t="shared" ca="1" si="3"/>
        <v/>
      </c>
      <c r="O13" s="30"/>
      <c r="W13" s="31"/>
    </row>
    <row r="14" spans="1:23" s="23" customFormat="1" ht="16.5" customHeight="1" x14ac:dyDescent="0.2">
      <c r="A14" s="38">
        <f>COUNTIF($J$1:J14,"!")</f>
        <v>1</v>
      </c>
      <c r="B14" s="39" t="str">
        <f>IFERROR(VLOOKUP(C14,元件库!$B:$O,3,FALSE),"")</f>
        <v>支柱绝缘子</v>
      </c>
      <c r="C14" s="43" t="s">
        <v>136</v>
      </c>
      <c r="D14" s="101" t="str">
        <f>IFERROR(VLOOKUP(C14,元件库!$B:$O,2,FALSE),"")</f>
        <v>福一开</v>
      </c>
      <c r="E14" s="41" t="str">
        <f t="shared" si="9"/>
        <v>只</v>
      </c>
      <c r="F14" s="41">
        <v>3</v>
      </c>
      <c r="G14" s="42">
        <f t="shared" si="6"/>
        <v>24.64</v>
      </c>
      <c r="H14" s="42">
        <f t="shared" si="7"/>
        <v>73.92</v>
      </c>
      <c r="I14" s="52"/>
      <c r="J14" s="53">
        <f t="shared" si="4"/>
        <v>1.1200000000000001</v>
      </c>
      <c r="K14" s="54">
        <f t="shared" si="8"/>
        <v>22</v>
      </c>
      <c r="L14" s="55">
        <f>IFERROR(VLOOKUP(C14,元件库!$B:$O,10,FALSE),"1.00")</f>
        <v>1</v>
      </c>
      <c r="M14" s="56">
        <f>IFERROR(VLOOKUP(C14,元件库!$B:$O,11,FALSE),"")</f>
        <v>22</v>
      </c>
      <c r="N14" s="57" t="str">
        <f t="shared" ca="1" si="3"/>
        <v/>
      </c>
      <c r="O14" s="30"/>
      <c r="W14" s="31"/>
    </row>
    <row r="15" spans="1:23" s="23" customFormat="1" ht="16.5" customHeight="1" x14ac:dyDescent="0.2">
      <c r="A15" s="38">
        <f>COUNTIF($J$1:J15,"!")</f>
        <v>1</v>
      </c>
      <c r="B15" s="39" t="str">
        <f>IFERROR(VLOOKUP(C15,元件库!$B:$O,3,FALSE),"")</f>
        <v>电压传感器</v>
      </c>
      <c r="C15" s="43" t="s">
        <v>137</v>
      </c>
      <c r="D15" s="101" t="str">
        <f>IFERROR(VLOOKUP(C15,元件库!$B:$O,2,FALSE),"")</f>
        <v>福一开</v>
      </c>
      <c r="E15" s="41" t="str">
        <f t="shared" si="9"/>
        <v>只</v>
      </c>
      <c r="F15" s="41">
        <v>1</v>
      </c>
      <c r="G15" s="42">
        <f t="shared" si="6"/>
        <v>104.16000000000001</v>
      </c>
      <c r="H15" s="42">
        <f t="shared" si="7"/>
        <v>104.16000000000001</v>
      </c>
      <c r="I15" s="52"/>
      <c r="J15" s="53">
        <f t="shared" si="4"/>
        <v>1.1200000000000001</v>
      </c>
      <c r="K15" s="54">
        <f t="shared" si="8"/>
        <v>93</v>
      </c>
      <c r="L15" s="55">
        <f>IFERROR(VLOOKUP(C15,元件库!$B:$O,10,FALSE),"1.00")</f>
        <v>1</v>
      </c>
      <c r="M15" s="56">
        <f>IFERROR(VLOOKUP(C15,元件库!$B:$O,11,FALSE),"")</f>
        <v>93</v>
      </c>
      <c r="N15" s="57" t="str">
        <f t="shared" ca="1" si="3"/>
        <v/>
      </c>
      <c r="O15" s="30"/>
      <c r="W15" s="31"/>
    </row>
    <row r="16" spans="1:23" s="23" customFormat="1" ht="16.5" customHeight="1" x14ac:dyDescent="0.2">
      <c r="A16" s="38">
        <f>COUNTIF($J$1:J16,"!")</f>
        <v>1</v>
      </c>
      <c r="B16" s="39" t="str">
        <f>IFERROR(VLOOKUP(C16,元件库!$B:$O,3,FALSE),"")</f>
        <v>带电显示器</v>
      </c>
      <c r="C16" s="43" t="s">
        <v>1897</v>
      </c>
      <c r="D16" s="101" t="str">
        <f>IFERROR(VLOOKUP(C16,元件库!$B:$O,2,FALSE),"")</f>
        <v>江山鑫源</v>
      </c>
      <c r="E16" s="41" t="str">
        <f>IF(D16="欣利铜材","米",IF(B16="氧化锌避雷器","组","只"))</f>
        <v>只</v>
      </c>
      <c r="F16" s="41">
        <v>1</v>
      </c>
      <c r="G16" s="42">
        <f>IFERROR(J16*K16,"")</f>
        <v>36.96</v>
      </c>
      <c r="H16" s="42">
        <f>IFERROR(G16*F16,"")</f>
        <v>36.96</v>
      </c>
      <c r="I16" s="52"/>
      <c r="J16" s="53">
        <f>P$1</f>
        <v>1.1200000000000001</v>
      </c>
      <c r="K16" s="54">
        <f>IFERROR(M16*L16,"")</f>
        <v>33</v>
      </c>
      <c r="L16" s="55">
        <f>IFERROR(VLOOKUP(C16,元件库!$B:$O,10,FALSE),"1.00")</f>
        <v>1</v>
      </c>
      <c r="M16" s="56">
        <f>IFERROR(VLOOKUP(C16,元件库!$B:$O,11,FALSE),"")</f>
        <v>33</v>
      </c>
      <c r="N16" s="57" t="str">
        <f t="shared" ca="1" si="3"/>
        <v/>
      </c>
      <c r="O16" s="30"/>
      <c r="W16" s="31"/>
    </row>
    <row r="17" spans="1:23" s="23" customFormat="1" ht="16.5" customHeight="1" x14ac:dyDescent="0.2">
      <c r="A17" s="38">
        <f>COUNTIF($J$1:J17,"!")</f>
        <v>1</v>
      </c>
      <c r="B17" s="39" t="str">
        <f>IFERROR(VLOOKUP(C17,元件库!$B:$O,3,FALSE),"")</f>
        <v>电磁锁</v>
      </c>
      <c r="C17" s="43" t="s">
        <v>98</v>
      </c>
      <c r="D17" s="101" t="str">
        <f>IFERROR(VLOOKUP(C17,元件库!$B:$O,2,FALSE),"")</f>
        <v>哈陆拉</v>
      </c>
      <c r="E17" s="41" t="str">
        <f>IF(D17="欣利铜材","米",IF(B17="氧化锌避雷器","组","只"))</f>
        <v>只</v>
      </c>
      <c r="F17" s="41">
        <v>1</v>
      </c>
      <c r="G17" s="42">
        <f>IFERROR(J17*K17,"")</f>
        <v>61.600000000000009</v>
      </c>
      <c r="H17" s="42">
        <f>IFERROR(G17*F17,"")</f>
        <v>61.600000000000009</v>
      </c>
      <c r="I17" s="52"/>
      <c r="J17" s="53">
        <f t="shared" ref="J17:J20" si="10">P$1</f>
        <v>1.1200000000000001</v>
      </c>
      <c r="K17" s="54">
        <f>IFERROR(M17*L17,"")</f>
        <v>55</v>
      </c>
      <c r="L17" s="55">
        <f>IFERROR(VLOOKUP(C17,元件库!$B:$O,10,FALSE),"1.00")</f>
        <v>1</v>
      </c>
      <c r="M17" s="56">
        <f>IFERROR(VLOOKUP(C17,元件库!$B:$O,11,FALSE),"")</f>
        <v>55</v>
      </c>
      <c r="N17" s="57" t="str">
        <f t="shared" ca="1" si="3"/>
        <v/>
      </c>
      <c r="O17" s="30"/>
      <c r="W17" s="31"/>
    </row>
    <row r="18" spans="1:23" s="23" customFormat="1" ht="16.5" customHeight="1" x14ac:dyDescent="0.2">
      <c r="A18" s="38">
        <f>COUNTIF($J$1:J18,"!")</f>
        <v>1</v>
      </c>
      <c r="B18" s="39" t="str">
        <f>IFERROR(VLOOKUP(C18,元件库!$B:$O,3,FALSE),"")</f>
        <v>温湿度控制器</v>
      </c>
      <c r="C18" s="43" t="s">
        <v>153</v>
      </c>
      <c r="D18" s="101" t="str">
        <f>IFERROR(VLOOKUP(C18,元件库!$B:$O,2,FALSE),"")</f>
        <v>实德电气</v>
      </c>
      <c r="E18" s="41" t="str">
        <f t="shared" ref="E18:E20" si="11">IF(D18="欣利铜材","米",IF(B18="氧化锌避雷器","组","只"))</f>
        <v>只</v>
      </c>
      <c r="F18" s="41">
        <v>1</v>
      </c>
      <c r="G18" s="42">
        <f t="shared" ref="G18:G20" si="12">IFERROR(J18*K18,"")</f>
        <v>123.20000000000002</v>
      </c>
      <c r="H18" s="42">
        <f t="shared" ref="H18:H20" si="13">IFERROR(G18*F18,"")</f>
        <v>123.20000000000002</v>
      </c>
      <c r="I18" s="52"/>
      <c r="J18" s="53">
        <f t="shared" si="10"/>
        <v>1.1200000000000001</v>
      </c>
      <c r="K18" s="54">
        <f t="shared" ref="K18:K20" si="14">IFERROR(M18*L18,"")</f>
        <v>110</v>
      </c>
      <c r="L18" s="55">
        <f>IFERROR(VLOOKUP(C18,元件库!$B:$O,10,FALSE),"1.00")</f>
        <v>1</v>
      </c>
      <c r="M18" s="56">
        <f>IFERROR(VLOOKUP(C18,元件库!$B:$O,11,FALSE),"")</f>
        <v>110</v>
      </c>
      <c r="N18" s="57" t="str">
        <f t="shared" ca="1" si="3"/>
        <v/>
      </c>
      <c r="O18" s="30"/>
    </row>
    <row r="19" spans="1:23" s="23" customFormat="1" ht="16.5" customHeight="1" x14ac:dyDescent="0.2">
      <c r="A19" s="38">
        <f>COUNTIF($J$1:J19,"!")</f>
        <v>1</v>
      </c>
      <c r="B19" s="39" t="str">
        <f>IFERROR(VLOOKUP(C19,元件库!$B:$O,3,FALSE),"")</f>
        <v>加热器</v>
      </c>
      <c r="C19" s="43" t="s">
        <v>101</v>
      </c>
      <c r="D19" s="101" t="str">
        <f>IFERROR(VLOOKUP(C19,元件库!$B:$O,2,FALSE),"")</f>
        <v>实德电气</v>
      </c>
      <c r="E19" s="41" t="str">
        <f t="shared" si="11"/>
        <v>只</v>
      </c>
      <c r="F19" s="41">
        <v>2</v>
      </c>
      <c r="G19" s="42">
        <f t="shared" si="12"/>
        <v>20.160000000000004</v>
      </c>
      <c r="H19" s="42">
        <f t="shared" si="13"/>
        <v>40.320000000000007</v>
      </c>
      <c r="I19" s="52"/>
      <c r="J19" s="53">
        <f t="shared" si="10"/>
        <v>1.1200000000000001</v>
      </c>
      <c r="K19" s="54">
        <f t="shared" si="14"/>
        <v>18</v>
      </c>
      <c r="L19" s="55">
        <f>IFERROR(VLOOKUP(C19,元件库!$B:$O,10,FALSE),"1.00")</f>
        <v>1</v>
      </c>
      <c r="M19" s="56">
        <f>IFERROR(VLOOKUP(C19,元件库!$B:$O,11,FALSE),"")</f>
        <v>18</v>
      </c>
      <c r="N19" s="57" t="str">
        <f t="shared" ca="1" si="3"/>
        <v/>
      </c>
      <c r="O19" s="30"/>
    </row>
    <row r="20" spans="1:23" s="23" customFormat="1" ht="16.5" customHeight="1" x14ac:dyDescent="0.2">
      <c r="A20" s="38">
        <f>COUNTIF($J$1:J20,"!")</f>
        <v>1</v>
      </c>
      <c r="B20" s="39" t="str">
        <f>IFERROR(VLOOKUP(C20,元件库!$B:$O,3,FALSE),"")</f>
        <v>高压热缩管</v>
      </c>
      <c r="C20" s="78" t="str">
        <f>"10KV"&amp;MID(C21,4,10)</f>
        <v>10KV-50*5</v>
      </c>
      <c r="D20" s="101" t="str">
        <f>IFERROR(VLOOKUP(C20,元件库!$B:$O,2,FALSE),"")</f>
        <v>精益联合集团</v>
      </c>
      <c r="E20" s="41" t="str">
        <f t="shared" si="11"/>
        <v>只</v>
      </c>
      <c r="F20" s="41">
        <f>ROUND(SUM(F21:F22),0)</f>
        <v>16</v>
      </c>
      <c r="G20" s="42">
        <f t="shared" si="12"/>
        <v>11.200000000000001</v>
      </c>
      <c r="H20" s="42">
        <f t="shared" si="13"/>
        <v>179.20000000000002</v>
      </c>
      <c r="I20" s="52"/>
      <c r="J20" s="53">
        <f t="shared" si="10"/>
        <v>1.1200000000000001</v>
      </c>
      <c r="K20" s="54">
        <f t="shared" si="14"/>
        <v>10</v>
      </c>
      <c r="L20" s="55">
        <f>IFERROR(VLOOKUP(C20,元件库!$B:$O,10,FALSE),"1.00")</f>
        <v>1</v>
      </c>
      <c r="M20" s="56">
        <f>IFERROR(VLOOKUP(C20,元件库!$B:$O,11,FALSE),"")</f>
        <v>10</v>
      </c>
      <c r="N20" s="57" t="str">
        <f t="shared" ca="1" si="3"/>
        <v/>
      </c>
      <c r="O20" s="30"/>
    </row>
    <row r="21" spans="1:23" s="23" customFormat="1" ht="16.5" customHeight="1" x14ac:dyDescent="0.2">
      <c r="A21" s="38">
        <f>COUNTIF($J$1:J21,"!")</f>
        <v>1</v>
      </c>
      <c r="B21" s="39" t="str">
        <f>IFERROR(VLOOKUP(C21,元件库!$B:$O,3,FALSE),"")</f>
        <v>铜排</v>
      </c>
      <c r="C21" s="43" t="s">
        <v>56</v>
      </c>
      <c r="D21" s="101" t="str">
        <f>IFERROR(VLOOKUP(C21,元件库!$B:$O,2,FALSE),"")</f>
        <v>欣利铜材</v>
      </c>
      <c r="E21" s="41" t="s">
        <v>39</v>
      </c>
      <c r="F21" s="41">
        <v>3.6</v>
      </c>
      <c r="G21" s="42">
        <f t="shared" si="0"/>
        <v>142.04400000000001</v>
      </c>
      <c r="H21" s="42">
        <f t="shared" si="1"/>
        <v>511.35840000000007</v>
      </c>
      <c r="I21" s="52"/>
      <c r="J21" s="53">
        <f t="shared" si="4"/>
        <v>1.1200000000000001</v>
      </c>
      <c r="K21" s="54">
        <f t="shared" si="2"/>
        <v>126.82499999999999</v>
      </c>
      <c r="L21" s="55">
        <f>IFERROR(VLOOKUP(C21,元件库!$B:$O,10,FALSE),"1.00")</f>
        <v>1</v>
      </c>
      <c r="M21" s="56">
        <f>IFERROR(VLOOKUP(C21,元件库!$B:$O,11,FALSE),"")</f>
        <v>126.82499999999999</v>
      </c>
      <c r="N21" s="57" t="str">
        <f t="shared" ca="1" si="3"/>
        <v/>
      </c>
      <c r="O21" s="30"/>
      <c r="P21" s="24"/>
      <c r="Q21" s="24"/>
    </row>
    <row r="22" spans="1:23" s="23" customFormat="1" ht="16.5" customHeight="1" x14ac:dyDescent="0.2">
      <c r="A22" s="38">
        <f>COUNTIF($J$1:J22,"!")</f>
        <v>1</v>
      </c>
      <c r="B22" s="39" t="str">
        <f>IFERROR(VLOOKUP(C22,元件库!$B:$O,3,FALSE),"")</f>
        <v>铜排</v>
      </c>
      <c r="C22" s="43" t="s">
        <v>56</v>
      </c>
      <c r="D22" s="101" t="str">
        <f>IFERROR(VLOOKUP(C22,元件库!$B:$O,2,FALSE),"")</f>
        <v>欣利铜材</v>
      </c>
      <c r="E22" s="41" t="s">
        <v>39</v>
      </c>
      <c r="F22" s="41">
        <v>12</v>
      </c>
      <c r="G22" s="42">
        <f t="shared" si="0"/>
        <v>142.04400000000001</v>
      </c>
      <c r="H22" s="42">
        <f t="shared" si="1"/>
        <v>1704.5280000000002</v>
      </c>
      <c r="I22" s="52"/>
      <c r="J22" s="53">
        <f t="shared" si="4"/>
        <v>1.1200000000000001</v>
      </c>
      <c r="K22" s="54">
        <f t="shared" si="2"/>
        <v>126.82499999999999</v>
      </c>
      <c r="L22" s="55">
        <f>IFERROR(VLOOKUP(C22,元件库!$B:$O,10,FALSE),"1.00")</f>
        <v>1</v>
      </c>
      <c r="M22" s="56">
        <f>IFERROR(VLOOKUP(C22,元件库!$B:$O,11,FALSE),"")</f>
        <v>126.82499999999999</v>
      </c>
      <c r="N22" s="57" t="str">
        <f t="shared" ca="1" si="3"/>
        <v/>
      </c>
      <c r="O22" s="30"/>
      <c r="P22" s="24"/>
      <c r="Q22" s="24"/>
    </row>
    <row r="23" spans="1:23" s="23" customFormat="1" ht="16.5" customHeight="1" x14ac:dyDescent="0.2">
      <c r="A23" s="38">
        <f>COUNTIF($J$1:J23,"!")</f>
        <v>1</v>
      </c>
      <c r="B23" s="39" t="str">
        <f>IFERROR(VLOOKUP(C23,元件库!$B:$O,3,FALSE),"")</f>
        <v>铜排</v>
      </c>
      <c r="C23" s="43" t="s">
        <v>139</v>
      </c>
      <c r="D23" s="101" t="str">
        <f>IFERROR(VLOOKUP(C23,元件库!$B:$O,2,FALSE),"")</f>
        <v>欣利铜材</v>
      </c>
      <c r="E23" s="41" t="s">
        <v>39</v>
      </c>
      <c r="F23" s="41">
        <v>4.5</v>
      </c>
      <c r="G23" s="42">
        <f t="shared" si="0"/>
        <v>90.908159999999995</v>
      </c>
      <c r="H23" s="42">
        <f t="shared" si="1"/>
        <v>409.08671999999996</v>
      </c>
      <c r="I23" s="52"/>
      <c r="J23" s="53">
        <f t="shared" si="4"/>
        <v>1.1200000000000001</v>
      </c>
      <c r="K23" s="54">
        <f t="shared" si="2"/>
        <v>81.167999999999992</v>
      </c>
      <c r="L23" s="55">
        <f>IFERROR(VLOOKUP(C23,元件库!$B:$O,10,FALSE),"1.00")</f>
        <v>1</v>
      </c>
      <c r="M23" s="56">
        <f>IFERROR(VLOOKUP(C23,元件库!$B:$O,11,FALSE),"")</f>
        <v>81.167999999999992</v>
      </c>
      <c r="N23" s="57" t="str">
        <f t="shared" ca="1" si="3"/>
        <v/>
      </c>
      <c r="O23" s="30"/>
      <c r="P23" s="24"/>
      <c r="Q23" s="24"/>
    </row>
    <row r="24" spans="1:23" ht="16.5" customHeight="1" x14ac:dyDescent="0.2">
      <c r="A24" s="38">
        <f>COUNTIF($J$1:J24,"!")</f>
        <v>1</v>
      </c>
      <c r="B24" s="44" t="s">
        <v>107</v>
      </c>
      <c r="C24" s="43"/>
      <c r="D24" s="41"/>
      <c r="E24" s="41"/>
      <c r="F24" s="41"/>
      <c r="G24" s="42"/>
      <c r="H24" s="42"/>
      <c r="I24" s="58">
        <f>SUM(H3:H24)</f>
        <v>198368.49312000009</v>
      </c>
      <c r="J24" s="53"/>
      <c r="K24" s="54"/>
      <c r="L24" s="55"/>
      <c r="M24" s="56"/>
      <c r="N24" s="80"/>
      <c r="P24" s="30"/>
      <c r="Q24" s="31"/>
      <c r="R24" s="30"/>
    </row>
    <row r="25" spans="1:23" ht="16.5" customHeight="1" x14ac:dyDescent="0.2">
      <c r="A25" s="38">
        <f>COUNTIF($J$1:J25,"!")</f>
        <v>1</v>
      </c>
      <c r="B25" s="45" t="s">
        <v>47</v>
      </c>
      <c r="C25" s="43"/>
      <c r="D25" s="41"/>
      <c r="E25" s="41"/>
      <c r="F25" s="41"/>
      <c r="G25" s="42"/>
      <c r="H25" s="42">
        <f>IFERROR(J25*K25,"")</f>
        <v>1008.0000000000001</v>
      </c>
      <c r="I25" s="52"/>
      <c r="J25" s="53">
        <f t="shared" si="4"/>
        <v>1.1200000000000001</v>
      </c>
      <c r="K25" s="54">
        <f t="shared" ref="K25" si="15">IFERROR(M25*L25,"")</f>
        <v>900</v>
      </c>
      <c r="L25" s="55">
        <f>IF(D25="贵州长征",0.4,IF(D25="正泰电器",0.55,IF(D25="中国人民电器",0.53,IF(D25="欣利铜材",元件库!O$1,1))))</f>
        <v>1</v>
      </c>
      <c r="M25" s="56">
        <v>900</v>
      </c>
      <c r="N25" s="80"/>
      <c r="P25" s="30"/>
    </row>
    <row r="26" spans="1:23" s="24" customFormat="1" ht="16.5" customHeight="1" x14ac:dyDescent="0.2">
      <c r="A26" s="38">
        <f>COUNTIF($J$1:J26,"!")</f>
        <v>1</v>
      </c>
      <c r="B26" s="45" t="s">
        <v>49</v>
      </c>
      <c r="C26" s="43"/>
      <c r="D26" s="41"/>
      <c r="E26" s="41"/>
      <c r="F26" s="41"/>
      <c r="G26" s="42"/>
      <c r="H26" s="42">
        <f>IFERROR(J26*K26,"")</f>
        <v>784.00000000000011</v>
      </c>
      <c r="I26" s="52"/>
      <c r="J26" s="53">
        <f t="shared" si="4"/>
        <v>1.1200000000000001</v>
      </c>
      <c r="K26" s="54">
        <f t="shared" ref="K26:K27" si="16">IFERROR(M26*L26,"")</f>
        <v>700</v>
      </c>
      <c r="L26" s="55">
        <f>IF(D26="贵州长征",0.4,IF(D26="正泰电器",0.55,IF(D26="中国人民电器",0.53,IF(D26="欣利铜材",元件库!O$1,1))))</f>
        <v>1</v>
      </c>
      <c r="M26" s="56">
        <v>700</v>
      </c>
      <c r="N26" s="80"/>
      <c r="O26" s="62"/>
      <c r="P26" s="59"/>
      <c r="R26" s="31"/>
      <c r="S26" s="31"/>
      <c r="T26" s="31"/>
    </row>
    <row r="27" spans="1:23" s="24" customFormat="1" ht="16.5" customHeight="1" x14ac:dyDescent="0.2">
      <c r="A27" s="38">
        <f>COUNTIF($J$1:J27,"!")</f>
        <v>1</v>
      </c>
      <c r="B27" s="45" t="s">
        <v>50</v>
      </c>
      <c r="C27" s="43"/>
      <c r="D27" s="41"/>
      <c r="E27" s="41"/>
      <c r="F27" s="41"/>
      <c r="G27" s="42"/>
      <c r="H27" s="42">
        <f>IFERROR(J27*K27,"")</f>
        <v>224.00000000000003</v>
      </c>
      <c r="I27" s="52"/>
      <c r="J27" s="53">
        <f t="shared" si="4"/>
        <v>1.1200000000000001</v>
      </c>
      <c r="K27" s="54">
        <f t="shared" si="16"/>
        <v>200</v>
      </c>
      <c r="L27" s="55">
        <f>IF(D27="贵州长征",0.4,IF(D27="正泰电器",0.55,IF(D27="中国人民电器",0.53,IF(D27="欣利铜材",元件库!O$1,1))))</f>
        <v>1</v>
      </c>
      <c r="M27" s="56">
        <v>200</v>
      </c>
      <c r="N27" s="80"/>
      <c r="O27" s="62"/>
      <c r="P27" s="59"/>
      <c r="R27" s="31"/>
      <c r="S27" s="31"/>
      <c r="T27" s="31"/>
    </row>
    <row r="28" spans="1:23" s="24" customFormat="1" ht="16.5" customHeight="1" x14ac:dyDescent="0.2">
      <c r="A28" s="38">
        <f>COUNTIF($J$1:J28,"!")</f>
        <v>1</v>
      </c>
      <c r="B28" s="45" t="s">
        <v>79</v>
      </c>
      <c r="C28" s="43"/>
      <c r="D28" s="41"/>
      <c r="E28" s="41"/>
      <c r="F28" s="41"/>
      <c r="G28" s="42"/>
      <c r="H28" s="42">
        <f>K28*L28</f>
        <v>12023.069587200005</v>
      </c>
      <c r="I28" s="52"/>
      <c r="J28" s="53"/>
      <c r="K28" s="54">
        <f>SUM(H25:H27)+I24</f>
        <v>200384.49312000009</v>
      </c>
      <c r="L28" s="278">
        <f>R$1</f>
        <v>0.06</v>
      </c>
      <c r="M28" s="56"/>
      <c r="N28" s="80"/>
      <c r="O28" s="62"/>
      <c r="P28" s="30"/>
      <c r="R28" s="31"/>
      <c r="S28" s="31"/>
      <c r="T28" s="31"/>
    </row>
    <row r="29" spans="1:23" ht="16.5" customHeight="1" x14ac:dyDescent="0.2">
      <c r="A29" s="38">
        <f>COUNTIF($J$1:J29,"!")</f>
        <v>1</v>
      </c>
      <c r="B29" s="45" t="s">
        <v>108</v>
      </c>
      <c r="C29" s="43"/>
      <c r="D29" s="41"/>
      <c r="E29" s="41"/>
      <c r="F29" s="41"/>
      <c r="G29" s="46"/>
      <c r="H29" s="42">
        <f>K29*L29</f>
        <v>0</v>
      </c>
      <c r="I29" s="52"/>
      <c r="J29" s="53"/>
      <c r="K29" s="54">
        <f>H28+K28</f>
        <v>212407.56270720009</v>
      </c>
      <c r="L29" s="278">
        <f>T$1</f>
        <v>0</v>
      </c>
      <c r="M29" s="56"/>
      <c r="N29" s="80"/>
    </row>
  </sheetData>
  <autoFilter ref="A1:M29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ignoredErrors>
    <ignoredError sqref="F20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OFFSET(元件库!$B$1,MATCH(C3&amp;"*",元件库!$B:$B,0)-1,,COUNTIF(元件库!$B:$B,C3&amp;"*"))</xm:f>
          </x14:formula1>
          <xm:sqref>C3:C23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4"/>
  <dimension ref="A1:T64"/>
  <sheetViews>
    <sheetView workbookViewId="0">
      <pane ySplit="1" topLeftCell="A2" activePane="bottomLeft" state="frozen"/>
      <selection activeCell="C27" sqref="C27"/>
      <selection pane="bottomLeft" sqref="A1:N1"/>
    </sheetView>
  </sheetViews>
  <sheetFormatPr defaultColWidth="7" defaultRowHeight="12" x14ac:dyDescent="0.2"/>
  <cols>
    <col min="1" max="1" width="3.625" style="202" customWidth="1"/>
    <col min="2" max="2" width="14.125" style="208" customWidth="1"/>
    <col min="3" max="3" width="21.625" style="210" customWidth="1"/>
    <col min="4" max="4" width="11.625" style="211" customWidth="1"/>
    <col min="5" max="6" width="4.125" style="211" customWidth="1"/>
    <col min="7" max="8" width="9.625" style="212" customWidth="1"/>
    <col min="9" max="9" width="14.625" style="213" customWidth="1"/>
    <col min="10" max="10" width="4.625" style="202" customWidth="1"/>
    <col min="11" max="11" width="8.125" style="212" customWidth="1"/>
    <col min="12" max="12" width="5.125" style="212" customWidth="1"/>
    <col min="13" max="13" width="8.125" style="212" customWidth="1"/>
    <col min="14" max="14" width="3.625" style="206" customWidth="1"/>
    <col min="15" max="15" width="4.625" style="206" customWidth="1"/>
    <col min="16" max="17" width="4.625" style="217" customWidth="1"/>
    <col min="18" max="23" width="4.625" style="214" customWidth="1"/>
    <col min="24" max="16384" width="7" style="214"/>
  </cols>
  <sheetData>
    <row r="1" spans="1:20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8" t="s">
        <v>140</v>
      </c>
      <c r="O1" s="281" t="s">
        <v>18</v>
      </c>
      <c r="P1" s="282">
        <v>1.1200000000000001</v>
      </c>
      <c r="Q1" s="281" t="s">
        <v>2342</v>
      </c>
      <c r="R1" s="282">
        <v>0.06</v>
      </c>
      <c r="S1" s="282" t="s">
        <v>80</v>
      </c>
      <c r="T1" s="282">
        <v>0</v>
      </c>
    </row>
    <row r="2" spans="1:20" s="217" customFormat="1" ht="16.5" customHeight="1" x14ac:dyDescent="0.15">
      <c r="A2" s="32">
        <f>COUNTIF($J$1:J2,"!")</f>
        <v>1</v>
      </c>
      <c r="B2" s="33" t="s">
        <v>1895</v>
      </c>
      <c r="C2" s="303" t="s">
        <v>2316</v>
      </c>
      <c r="D2" s="215" t="s">
        <v>1931</v>
      </c>
      <c r="E2" s="34" t="s">
        <v>23</v>
      </c>
      <c r="F2" s="215">
        <v>1</v>
      </c>
      <c r="G2" s="36">
        <f>ROUND(SUM(H3:H29),0)</f>
        <v>18005</v>
      </c>
      <c r="H2" s="216" t="str">
        <f>IF(ISNUMBER(FIND(" ",C3)),MID(C3,1,FIND(" ",C3)-1),IF(ISNUMBER(FIND("电容柜",B2)),"GGJ",MID(C3,1,FIND("-",C3)-1)))</f>
        <v>HXGN</v>
      </c>
      <c r="I2" s="47" t="str">
        <f>MID(C3,IF(LEN(C3)-LEN(H2)&gt;3,LEN(H2)+2,1),30)</f>
        <v>900*1000*2200</v>
      </c>
      <c r="J2" s="48" t="s">
        <v>24</v>
      </c>
      <c r="K2" s="49"/>
      <c r="L2" s="50"/>
      <c r="M2" s="51"/>
      <c r="N2" s="205"/>
      <c r="O2" s="206"/>
    </row>
    <row r="3" spans="1:20" s="217" customFormat="1" ht="16.5" customHeight="1" x14ac:dyDescent="0.2">
      <c r="A3" s="38">
        <f>COUNTIF($J$1:J3,"!")</f>
        <v>1</v>
      </c>
      <c r="B3" s="204" t="str">
        <f>IFERROR(VLOOKUP(C3,元件库!$B:$O,3,FALSE),"")</f>
        <v>壳体W*D*H</v>
      </c>
      <c r="C3" s="195" t="s">
        <v>2317</v>
      </c>
      <c r="D3" s="203" t="str">
        <f>IFERROR(VLOOKUP(C3,元件库!$B:$O,2,FALSE),"")</f>
        <v>精益联合集团</v>
      </c>
      <c r="E3" s="196" t="str">
        <f t="shared" ref="E3:E24" si="0">IF(D3="欣利铜材","米",IF(B3="氧化锌避雷器","组","只"))</f>
        <v>只</v>
      </c>
      <c r="F3" s="196">
        <v>1</v>
      </c>
      <c r="G3" s="42">
        <f t="shared" ref="G3:G24" si="1">IFERROR(J3*K3,"")</f>
        <v>2128</v>
      </c>
      <c r="H3" s="42">
        <f t="shared" ref="H3:H24" si="2">IFERROR(G3*F3,"")</f>
        <v>2128</v>
      </c>
      <c r="I3" s="197"/>
      <c r="J3" s="198">
        <f t="shared" ref="J3:J24" si="3">P$1</f>
        <v>1.1200000000000001</v>
      </c>
      <c r="K3" s="199">
        <f t="shared" ref="K3:K27" si="4">IFERROR(M3*L3,"")</f>
        <v>1900</v>
      </c>
      <c r="L3" s="200">
        <f>IFERROR(VLOOKUP(C3,元件库!$B:$O,10,FALSE),"1.00")</f>
        <v>1</v>
      </c>
      <c r="M3" s="201">
        <f>IFERROR(VLOOKUP(C3,元件库!$B:$O,11,FALSE),"")</f>
        <v>1900</v>
      </c>
      <c r="N3" s="205" t="str">
        <f t="shared" ref="N3:N24" ca="1" si="5">IF(AND(ISNUMBER(FIND("IF",_xlfn.FORMULATEXT(L3))),ISNUMBER(FIND("IF",_xlfn.FORMULATEXT(M3)))),"","值")</f>
        <v/>
      </c>
      <c r="O3" s="214"/>
      <c r="P3" s="214"/>
    </row>
    <row r="4" spans="1:20" s="218" customFormat="1" ht="16.5" customHeight="1" x14ac:dyDescent="0.2">
      <c r="A4" s="38">
        <f>COUNTIF($J$1:J4,"!")</f>
        <v>1</v>
      </c>
      <c r="B4" s="204" t="str">
        <f>IFERROR(VLOOKUP(C4,元件库!$B:$O,3,FALSE),"")</f>
        <v>隔离开关</v>
      </c>
      <c r="C4" s="195" t="s">
        <v>917</v>
      </c>
      <c r="D4" s="203" t="str">
        <f>IFERROR(VLOOKUP(C4,元件库!$B:$O,2,FALSE),"")</f>
        <v>博时达</v>
      </c>
      <c r="E4" s="196" t="str">
        <f t="shared" si="0"/>
        <v>只</v>
      </c>
      <c r="F4" s="196">
        <v>1</v>
      </c>
      <c r="G4" s="42">
        <f t="shared" si="1"/>
        <v>2464.0000000000005</v>
      </c>
      <c r="H4" s="42">
        <f t="shared" si="2"/>
        <v>2464.0000000000005</v>
      </c>
      <c r="I4" s="197"/>
      <c r="J4" s="198">
        <f t="shared" si="3"/>
        <v>1.1200000000000001</v>
      </c>
      <c r="K4" s="199">
        <f t="shared" si="4"/>
        <v>2200</v>
      </c>
      <c r="L4" s="200">
        <f>IFERROR(VLOOKUP(C4,元件库!$B:$O,10,FALSE),"1.00")</f>
        <v>1</v>
      </c>
      <c r="M4" s="201">
        <f>IFERROR(VLOOKUP(C4,元件库!$B:$O,11,FALSE),"")</f>
        <v>2200</v>
      </c>
      <c r="N4" s="205" t="str">
        <f t="shared" ca="1" si="5"/>
        <v/>
      </c>
      <c r="O4" s="214"/>
    </row>
    <row r="5" spans="1:20" s="218" customFormat="1" ht="16.5" customHeight="1" x14ac:dyDescent="0.2">
      <c r="A5" s="38">
        <f>COUNTIF($J$1:J5,"!")</f>
        <v>1</v>
      </c>
      <c r="B5" s="204" t="str">
        <f>IFERROR(VLOOKUP(C5,元件库!$B:$O,3,FALSE),"")</f>
        <v>机械连锁</v>
      </c>
      <c r="C5" s="195" t="s">
        <v>2318</v>
      </c>
      <c r="D5" s="203" t="str">
        <f>IFERROR(VLOOKUP(C5,元件库!$B:$O,2,FALSE),"")</f>
        <v>精益联合集团</v>
      </c>
      <c r="E5" s="196" t="str">
        <f t="shared" si="0"/>
        <v>只</v>
      </c>
      <c r="F5" s="196">
        <v>1</v>
      </c>
      <c r="G5" s="42">
        <f t="shared" si="1"/>
        <v>324.8</v>
      </c>
      <c r="H5" s="42">
        <f t="shared" si="2"/>
        <v>324.8</v>
      </c>
      <c r="I5" s="197"/>
      <c r="J5" s="198">
        <f t="shared" si="3"/>
        <v>1.1200000000000001</v>
      </c>
      <c r="K5" s="199">
        <f t="shared" si="4"/>
        <v>290</v>
      </c>
      <c r="L5" s="200">
        <f>IFERROR(VLOOKUP(C5,元件库!$B:$O,10,FALSE),"1.00")</f>
        <v>1</v>
      </c>
      <c r="M5" s="201">
        <f>IFERROR(VLOOKUP(C5,元件库!$B:$O,11,FALSE),"")</f>
        <v>290</v>
      </c>
      <c r="N5" s="205" t="str">
        <f t="shared" ca="1" si="5"/>
        <v/>
      </c>
      <c r="O5" s="214"/>
    </row>
    <row r="6" spans="1:20" s="218" customFormat="1" ht="16.5" customHeight="1" x14ac:dyDescent="0.2">
      <c r="A6" s="38">
        <f>COUNTIF($J$1:J6,"!")</f>
        <v>1</v>
      </c>
      <c r="B6" s="204" t="str">
        <f>IFERROR(VLOOKUP(C6,元件库!$B:$O,3,FALSE),"")</f>
        <v/>
      </c>
      <c r="C6" s="195" t="s">
        <v>841</v>
      </c>
      <c r="D6" s="203" t="str">
        <f>IFERROR(VLOOKUP(C6,元件库!$B:$O,2,FALSE),"")</f>
        <v/>
      </c>
      <c r="E6" s="196" t="str">
        <f t="shared" si="0"/>
        <v>只</v>
      </c>
      <c r="F6" s="196">
        <v>1</v>
      </c>
      <c r="G6" s="42" t="str">
        <f t="shared" si="1"/>
        <v/>
      </c>
      <c r="H6" s="42" t="str">
        <f t="shared" si="2"/>
        <v/>
      </c>
      <c r="I6" s="197"/>
      <c r="J6" s="198">
        <f t="shared" si="3"/>
        <v>1.1200000000000001</v>
      </c>
      <c r="K6" s="199" t="str">
        <f t="shared" si="4"/>
        <v/>
      </c>
      <c r="L6" s="200" t="str">
        <f>IFERROR(VLOOKUP(C6,元件库!$B:$O,10,FALSE),"1.00")</f>
        <v>1.00</v>
      </c>
      <c r="M6" s="201" t="str">
        <f>IFERROR(VLOOKUP(C6,元件库!$B:$O,11,FALSE),"")</f>
        <v/>
      </c>
      <c r="N6" s="205" t="str">
        <f t="shared" ca="1" si="5"/>
        <v/>
      </c>
      <c r="O6" s="214"/>
    </row>
    <row r="7" spans="1:20" s="218" customFormat="1" ht="16.5" customHeight="1" x14ac:dyDescent="0.2">
      <c r="A7" s="38">
        <f>COUNTIF($J$1:J7,"!")</f>
        <v>1</v>
      </c>
      <c r="B7" s="204" t="str">
        <f>IFERROR(VLOOKUP(C7,元件库!$B:$O,3,FALSE),"")</f>
        <v>微机保护装置</v>
      </c>
      <c r="C7" s="195" t="s">
        <v>2319</v>
      </c>
      <c r="D7" s="203" t="str">
        <f>IFERROR(VLOOKUP(C7,元件库!$B:$O,2,FALSE),"")</f>
        <v>上海桂电</v>
      </c>
      <c r="E7" s="196" t="str">
        <f t="shared" si="0"/>
        <v>只</v>
      </c>
      <c r="F7" s="196">
        <v>1</v>
      </c>
      <c r="G7" s="42">
        <f t="shared" si="1"/>
        <v>1680.0000000000002</v>
      </c>
      <c r="H7" s="42">
        <f t="shared" si="2"/>
        <v>1680.0000000000002</v>
      </c>
      <c r="I7" s="197"/>
      <c r="J7" s="198">
        <f t="shared" si="3"/>
        <v>1.1200000000000001</v>
      </c>
      <c r="K7" s="199">
        <f t="shared" si="4"/>
        <v>1500</v>
      </c>
      <c r="L7" s="200">
        <f>IFERROR(VLOOKUP(C7,元件库!$B:$O,10,FALSE),"1.00")</f>
        <v>1</v>
      </c>
      <c r="M7" s="201">
        <f>IFERROR(VLOOKUP(C7,元件库!$B:$O,11,FALSE),"")</f>
        <v>1500</v>
      </c>
      <c r="N7" s="205" t="str">
        <f t="shared" ca="1" si="5"/>
        <v/>
      </c>
      <c r="O7" s="214"/>
    </row>
    <row r="8" spans="1:20" s="218" customFormat="1" ht="16.5" customHeight="1" x14ac:dyDescent="0.2">
      <c r="A8" s="38">
        <f>COUNTIF($J$1:J8,"!")</f>
        <v>1</v>
      </c>
      <c r="B8" s="204" t="str">
        <f>IFERROR(VLOOKUP(C8,元件库!$B:$O,3,FALSE),"")</f>
        <v>电流互感器</v>
      </c>
      <c r="C8" s="195" t="s">
        <v>2320</v>
      </c>
      <c r="D8" s="203" t="str">
        <f>IFERROR(VLOOKUP(C8,元件库!$B:$O,2,FALSE),"")</f>
        <v>浙江泰成</v>
      </c>
      <c r="E8" s="196" t="str">
        <f t="shared" si="0"/>
        <v>只</v>
      </c>
      <c r="F8" s="196">
        <v>3</v>
      </c>
      <c r="G8" s="42">
        <f t="shared" si="1"/>
        <v>752.6400000000001</v>
      </c>
      <c r="H8" s="42">
        <f t="shared" si="2"/>
        <v>2257.92</v>
      </c>
      <c r="I8" s="197"/>
      <c r="J8" s="198">
        <f t="shared" si="3"/>
        <v>1.1200000000000001</v>
      </c>
      <c r="K8" s="199">
        <f t="shared" si="4"/>
        <v>672</v>
      </c>
      <c r="L8" s="200">
        <f>IFERROR(VLOOKUP(C8,元件库!$B:$O,10,FALSE),"1.00")</f>
        <v>1</v>
      </c>
      <c r="M8" s="201">
        <f>IFERROR(VLOOKUP(C8,元件库!$B:$O,11,FALSE),"")</f>
        <v>672</v>
      </c>
      <c r="N8" s="205" t="str">
        <f t="shared" ca="1" si="5"/>
        <v/>
      </c>
      <c r="O8" s="214"/>
    </row>
    <row r="9" spans="1:20" s="218" customFormat="1" ht="16.5" customHeight="1" x14ac:dyDescent="0.2">
      <c r="A9" s="38">
        <f>COUNTIF($J$1:J9,"!")</f>
        <v>1</v>
      </c>
      <c r="B9" s="204" t="str">
        <f>IFERROR(VLOOKUP(C9,元件库!$B:$O,3,FALSE),"")</f>
        <v>电流.电压表</v>
      </c>
      <c r="C9" s="195" t="s">
        <v>2321</v>
      </c>
      <c r="D9" s="203" t="str">
        <f>IFERROR(VLOOKUP(C9,元件库!$B:$O,2,FALSE),"")</f>
        <v>精益联合集团</v>
      </c>
      <c r="E9" s="196" t="str">
        <f t="shared" si="0"/>
        <v>只</v>
      </c>
      <c r="F9" s="196">
        <v>5</v>
      </c>
      <c r="G9" s="42">
        <f t="shared" si="1"/>
        <v>15.400000000000004</v>
      </c>
      <c r="H9" s="42">
        <f t="shared" si="2"/>
        <v>77.000000000000014</v>
      </c>
      <c r="I9" s="197"/>
      <c r="J9" s="198">
        <f t="shared" si="3"/>
        <v>1.1200000000000001</v>
      </c>
      <c r="K9" s="199">
        <f t="shared" si="4"/>
        <v>13.750000000000002</v>
      </c>
      <c r="L9" s="200">
        <f>IFERROR(VLOOKUP(C9,元件库!$B:$O,10,FALSE),"1.00")</f>
        <v>0.55000000000000004</v>
      </c>
      <c r="M9" s="201">
        <f>IFERROR(VLOOKUP(C9,元件库!$B:$O,11,FALSE),"")</f>
        <v>25</v>
      </c>
      <c r="N9" s="205" t="str">
        <f t="shared" ca="1" si="5"/>
        <v/>
      </c>
      <c r="O9" s="214"/>
    </row>
    <row r="10" spans="1:20" s="218" customFormat="1" ht="16.5" customHeight="1" x14ac:dyDescent="0.2">
      <c r="A10" s="38">
        <f>COUNTIF($J$1:J10,"!")</f>
        <v>1</v>
      </c>
      <c r="B10" s="204" t="str">
        <f>IFERROR(VLOOKUP(C10,元件库!$B:$O,3,FALSE),"")</f>
        <v>氧化锌避雷器</v>
      </c>
      <c r="C10" s="195" t="s">
        <v>2322</v>
      </c>
      <c r="D10" s="203" t="str">
        <f>IFERROR(VLOOKUP(C10,元件库!$B:$O,2,FALSE),"")</f>
        <v>雷恩电气</v>
      </c>
      <c r="E10" s="196" t="str">
        <f t="shared" si="0"/>
        <v>组</v>
      </c>
      <c r="F10" s="196">
        <v>1</v>
      </c>
      <c r="G10" s="42">
        <f t="shared" si="1"/>
        <v>224.00000000000003</v>
      </c>
      <c r="H10" s="42">
        <f t="shared" si="2"/>
        <v>224.00000000000003</v>
      </c>
      <c r="I10" s="197"/>
      <c r="J10" s="198">
        <f t="shared" si="3"/>
        <v>1.1200000000000001</v>
      </c>
      <c r="K10" s="199">
        <f t="shared" si="4"/>
        <v>200</v>
      </c>
      <c r="L10" s="200">
        <f>IFERROR(VLOOKUP(C10,元件库!$B:$O,10,FALSE),"1.00")</f>
        <v>1</v>
      </c>
      <c r="M10" s="201">
        <f>IFERROR(VLOOKUP(C10,元件库!$B:$O,11,FALSE),"")</f>
        <v>200</v>
      </c>
      <c r="N10" s="205" t="str">
        <f t="shared" ca="1" si="5"/>
        <v/>
      </c>
      <c r="O10" s="214"/>
    </row>
    <row r="11" spans="1:20" s="218" customFormat="1" ht="16.5" customHeight="1" x14ac:dyDescent="0.2">
      <c r="A11" s="38">
        <f>COUNTIF($J$1:J11,"!")</f>
        <v>1</v>
      </c>
      <c r="B11" s="204" t="str">
        <f>IFERROR(VLOOKUP(C11,元件库!$B:$O,3,FALSE),"")</f>
        <v>高压熔断器</v>
      </c>
      <c r="C11" s="195" t="s">
        <v>2323</v>
      </c>
      <c r="D11" s="203" t="str">
        <f>IFERROR(VLOOKUP(C11,元件库!$B:$O,2,FALSE),"")</f>
        <v>上海智广</v>
      </c>
      <c r="E11" s="196" t="str">
        <f t="shared" si="0"/>
        <v>只</v>
      </c>
      <c r="F11" s="196">
        <v>3</v>
      </c>
      <c r="G11" s="42">
        <f t="shared" si="1"/>
        <v>67.2</v>
      </c>
      <c r="H11" s="42">
        <f t="shared" si="2"/>
        <v>201.60000000000002</v>
      </c>
      <c r="I11" s="197"/>
      <c r="J11" s="198">
        <f t="shared" si="3"/>
        <v>1.1200000000000001</v>
      </c>
      <c r="K11" s="199">
        <f t="shared" si="4"/>
        <v>60</v>
      </c>
      <c r="L11" s="200">
        <f>IFERROR(VLOOKUP(C11,元件库!$B:$O,10,FALSE),"1.00")</f>
        <v>1</v>
      </c>
      <c r="M11" s="201">
        <f>IFERROR(VLOOKUP(C11,元件库!$B:$O,11,FALSE),"")</f>
        <v>60</v>
      </c>
      <c r="N11" s="205" t="str">
        <f t="shared" ca="1" si="5"/>
        <v/>
      </c>
      <c r="O11" s="214"/>
    </row>
    <row r="12" spans="1:20" s="218" customFormat="1" ht="16.5" customHeight="1" x14ac:dyDescent="0.2">
      <c r="A12" s="38">
        <f>COUNTIF($J$1:J12,"!")</f>
        <v>1</v>
      </c>
      <c r="B12" s="204" t="str">
        <f>IFERROR(VLOOKUP(C12,元件库!$B:$O,3,FALSE),"")</f>
        <v>电压互感器</v>
      </c>
      <c r="C12" s="195" t="s">
        <v>2324</v>
      </c>
      <c r="D12" s="203" t="str">
        <f>IFERROR(VLOOKUP(C12,元件库!$B:$O,2,FALSE),"")</f>
        <v>浙江泰成</v>
      </c>
      <c r="E12" s="196" t="str">
        <f t="shared" si="0"/>
        <v>只</v>
      </c>
      <c r="F12" s="196">
        <v>2</v>
      </c>
      <c r="G12" s="42">
        <f t="shared" si="1"/>
        <v>1078.5600000000002</v>
      </c>
      <c r="H12" s="42">
        <f t="shared" si="2"/>
        <v>2157.1200000000003</v>
      </c>
      <c r="I12" s="197"/>
      <c r="J12" s="198">
        <f t="shared" si="3"/>
        <v>1.1200000000000001</v>
      </c>
      <c r="K12" s="199">
        <f t="shared" si="4"/>
        <v>963</v>
      </c>
      <c r="L12" s="200">
        <f>IFERROR(VLOOKUP(C12,元件库!$B:$O,10,FALSE),"1.00")</f>
        <v>1</v>
      </c>
      <c r="M12" s="201">
        <f>IFERROR(VLOOKUP(C12,元件库!$B:$O,11,FALSE),"")</f>
        <v>963</v>
      </c>
      <c r="N12" s="205" t="str">
        <f t="shared" ca="1" si="5"/>
        <v/>
      </c>
      <c r="O12" s="214"/>
    </row>
    <row r="13" spans="1:20" s="218" customFormat="1" ht="16.5" customHeight="1" x14ac:dyDescent="0.2">
      <c r="A13" s="38">
        <f>COUNTIF($J$1:J13,"!")</f>
        <v>1</v>
      </c>
      <c r="B13" s="204" t="str">
        <f>IFERROR(VLOOKUP(C13,元件库!$B:$O,3,FALSE),"")</f>
        <v>穿墙套管</v>
      </c>
      <c r="C13" s="195" t="s">
        <v>135</v>
      </c>
      <c r="D13" s="203" t="str">
        <f>IFERROR(VLOOKUP(C13,元件库!$B:$O,2,FALSE),"")</f>
        <v>福一开</v>
      </c>
      <c r="E13" s="196" t="str">
        <f t="shared" si="0"/>
        <v>只</v>
      </c>
      <c r="F13" s="196">
        <v>3</v>
      </c>
      <c r="G13" s="42">
        <f t="shared" si="1"/>
        <v>50.400000000000006</v>
      </c>
      <c r="H13" s="42">
        <f t="shared" si="2"/>
        <v>151.20000000000002</v>
      </c>
      <c r="I13" s="197"/>
      <c r="J13" s="198">
        <f t="shared" si="3"/>
        <v>1.1200000000000001</v>
      </c>
      <c r="K13" s="199">
        <f t="shared" si="4"/>
        <v>45</v>
      </c>
      <c r="L13" s="200">
        <f>IFERROR(VLOOKUP(C13,元件库!$B:$O,10,FALSE),"1.00")</f>
        <v>1</v>
      </c>
      <c r="M13" s="201">
        <f>IFERROR(VLOOKUP(C13,元件库!$B:$O,11,FALSE),"")</f>
        <v>45</v>
      </c>
      <c r="N13" s="205" t="str">
        <f t="shared" ca="1" si="5"/>
        <v/>
      </c>
      <c r="O13" s="214"/>
    </row>
    <row r="14" spans="1:20" s="218" customFormat="1" ht="16.5" customHeight="1" x14ac:dyDescent="0.2">
      <c r="A14" s="38">
        <f>COUNTIF($J$1:J14,"!")</f>
        <v>1</v>
      </c>
      <c r="B14" s="204" t="str">
        <f>IFERROR(VLOOKUP(C14,元件库!$B:$O,3,FALSE),"")</f>
        <v>支柱绝缘子</v>
      </c>
      <c r="C14" s="195" t="s">
        <v>136</v>
      </c>
      <c r="D14" s="203" t="str">
        <f>IFERROR(VLOOKUP(C14,元件库!$B:$O,2,FALSE),"")</f>
        <v>福一开</v>
      </c>
      <c r="E14" s="196" t="str">
        <f t="shared" si="0"/>
        <v>只</v>
      </c>
      <c r="F14" s="196">
        <v>3</v>
      </c>
      <c r="G14" s="42">
        <f t="shared" si="1"/>
        <v>24.64</v>
      </c>
      <c r="H14" s="42">
        <f t="shared" si="2"/>
        <v>73.92</v>
      </c>
      <c r="I14" s="197"/>
      <c r="J14" s="198">
        <f t="shared" si="3"/>
        <v>1.1200000000000001</v>
      </c>
      <c r="K14" s="199">
        <f t="shared" si="4"/>
        <v>22</v>
      </c>
      <c r="L14" s="200">
        <f>IFERROR(VLOOKUP(C14,元件库!$B:$O,10,FALSE),"1.00")</f>
        <v>1</v>
      </c>
      <c r="M14" s="201">
        <f>IFERROR(VLOOKUP(C14,元件库!$B:$O,11,FALSE),"")</f>
        <v>22</v>
      </c>
      <c r="N14" s="205" t="str">
        <f t="shared" ca="1" si="5"/>
        <v/>
      </c>
      <c r="O14" s="214"/>
    </row>
    <row r="15" spans="1:20" s="218" customFormat="1" ht="16.5" customHeight="1" x14ac:dyDescent="0.2">
      <c r="A15" s="38">
        <f>COUNTIF($J$1:J15,"!")</f>
        <v>1</v>
      </c>
      <c r="B15" s="204" t="str">
        <f>IFERROR(VLOOKUP(C15,元件库!$B:$O,3,FALSE),"")</f>
        <v>电压传感器</v>
      </c>
      <c r="C15" s="195" t="s">
        <v>137</v>
      </c>
      <c r="D15" s="203" t="str">
        <f>IFERROR(VLOOKUP(C15,元件库!$B:$O,2,FALSE),"")</f>
        <v>福一开</v>
      </c>
      <c r="E15" s="196" t="str">
        <f t="shared" si="0"/>
        <v>只</v>
      </c>
      <c r="F15" s="196">
        <v>1</v>
      </c>
      <c r="G15" s="42">
        <f t="shared" si="1"/>
        <v>104.16000000000001</v>
      </c>
      <c r="H15" s="42">
        <f t="shared" si="2"/>
        <v>104.16000000000001</v>
      </c>
      <c r="I15" s="197"/>
      <c r="J15" s="198">
        <f t="shared" si="3"/>
        <v>1.1200000000000001</v>
      </c>
      <c r="K15" s="199">
        <f t="shared" si="4"/>
        <v>93</v>
      </c>
      <c r="L15" s="200">
        <f>IFERROR(VLOOKUP(C15,元件库!$B:$O,10,FALSE),"1.00")</f>
        <v>1</v>
      </c>
      <c r="M15" s="201">
        <f>IFERROR(VLOOKUP(C15,元件库!$B:$O,11,FALSE),"")</f>
        <v>93</v>
      </c>
      <c r="N15" s="205" t="str">
        <f t="shared" ca="1" si="5"/>
        <v/>
      </c>
      <c r="O15" s="214"/>
    </row>
    <row r="16" spans="1:20" s="218" customFormat="1" ht="16.5" customHeight="1" x14ac:dyDescent="0.2">
      <c r="A16" s="38">
        <f>COUNTIF($J$1:J16,"!")</f>
        <v>1</v>
      </c>
      <c r="B16" s="204" t="str">
        <f>IFERROR(VLOOKUP(C16,元件库!$B:$O,3,FALSE),"")</f>
        <v>带电显示器</v>
      </c>
      <c r="C16" s="195" t="s">
        <v>152</v>
      </c>
      <c r="D16" s="203" t="str">
        <f>IFERROR(VLOOKUP(C16,元件库!$B:$O,2,FALSE),"")</f>
        <v>江山鑫源</v>
      </c>
      <c r="E16" s="196" t="str">
        <f t="shared" si="0"/>
        <v>只</v>
      </c>
      <c r="F16" s="196">
        <v>1</v>
      </c>
      <c r="G16" s="42">
        <f t="shared" si="1"/>
        <v>36.96</v>
      </c>
      <c r="H16" s="42">
        <f t="shared" si="2"/>
        <v>36.96</v>
      </c>
      <c r="I16" s="197"/>
      <c r="J16" s="198">
        <f t="shared" si="3"/>
        <v>1.1200000000000001</v>
      </c>
      <c r="K16" s="199">
        <f t="shared" si="4"/>
        <v>33</v>
      </c>
      <c r="L16" s="200">
        <f>IFERROR(VLOOKUP(C16,元件库!$B:$O,10,FALSE),"1.00")</f>
        <v>1</v>
      </c>
      <c r="M16" s="201">
        <f>IFERROR(VLOOKUP(C16,元件库!$B:$O,11,FALSE),"")</f>
        <v>33</v>
      </c>
      <c r="N16" s="205" t="str">
        <f t="shared" ca="1" si="5"/>
        <v/>
      </c>
      <c r="O16" s="214"/>
    </row>
    <row r="17" spans="1:17" s="218" customFormat="1" ht="16.5" customHeight="1" x14ac:dyDescent="0.2">
      <c r="A17" s="38">
        <f>COUNTIF($J$1:J17,"!")</f>
        <v>1</v>
      </c>
      <c r="B17" s="204" t="str">
        <f>IFERROR(VLOOKUP(C17,元件库!$B:$O,3,FALSE),"")</f>
        <v>电磁锁</v>
      </c>
      <c r="C17" s="195" t="s">
        <v>98</v>
      </c>
      <c r="D17" s="203" t="str">
        <f>IFERROR(VLOOKUP(C17,元件库!$B:$O,2,FALSE),"")</f>
        <v>哈陆拉</v>
      </c>
      <c r="E17" s="196" t="str">
        <f>IF(D17="欣利铜材","米",IF(B17="氧化锌避雷器","组","只"))</f>
        <v>只</v>
      </c>
      <c r="F17" s="196">
        <v>1</v>
      </c>
      <c r="G17" s="42">
        <f>IFERROR(J17*K17,"")</f>
        <v>61.600000000000009</v>
      </c>
      <c r="H17" s="42">
        <f>IFERROR(G17*F17,"")</f>
        <v>61.600000000000009</v>
      </c>
      <c r="I17" s="197"/>
      <c r="J17" s="198">
        <f t="shared" si="3"/>
        <v>1.1200000000000001</v>
      </c>
      <c r="K17" s="199">
        <f>IFERROR(M17*L17,"")</f>
        <v>55</v>
      </c>
      <c r="L17" s="200">
        <f>IFERROR(VLOOKUP(C17,元件库!$B:$O,10,FALSE),"1.00")</f>
        <v>1</v>
      </c>
      <c r="M17" s="201">
        <f>IFERROR(VLOOKUP(C17,元件库!$B:$O,11,FALSE),"")</f>
        <v>55</v>
      </c>
      <c r="N17" s="205" t="str">
        <f t="shared" ca="1" si="5"/>
        <v/>
      </c>
      <c r="O17" s="214"/>
    </row>
    <row r="18" spans="1:17" s="218" customFormat="1" ht="16.5" customHeight="1" x14ac:dyDescent="0.2">
      <c r="A18" s="38">
        <f>COUNTIF($J$1:J18,"!")</f>
        <v>1</v>
      </c>
      <c r="B18" s="204" t="str">
        <f>IFERROR(VLOOKUP(C18,元件库!$B:$O,3,FALSE),"")</f>
        <v>温湿度控制器</v>
      </c>
      <c r="C18" s="195" t="s">
        <v>153</v>
      </c>
      <c r="D18" s="203" t="str">
        <f>IFERROR(VLOOKUP(C18,元件库!$B:$O,2,FALSE),"")</f>
        <v>实德电气</v>
      </c>
      <c r="E18" s="196" t="str">
        <f t="shared" si="0"/>
        <v>只</v>
      </c>
      <c r="F18" s="196">
        <v>1</v>
      </c>
      <c r="G18" s="42">
        <f t="shared" si="1"/>
        <v>123.20000000000002</v>
      </c>
      <c r="H18" s="42">
        <f t="shared" si="2"/>
        <v>123.20000000000002</v>
      </c>
      <c r="I18" s="197"/>
      <c r="J18" s="198">
        <f t="shared" si="3"/>
        <v>1.1200000000000001</v>
      </c>
      <c r="K18" s="199">
        <f t="shared" si="4"/>
        <v>110</v>
      </c>
      <c r="L18" s="200">
        <f>IFERROR(VLOOKUP(C18,元件库!$B:$O,10,FALSE),"1.00")</f>
        <v>1</v>
      </c>
      <c r="M18" s="201">
        <f>IFERROR(VLOOKUP(C18,元件库!$B:$O,11,FALSE),"")</f>
        <v>110</v>
      </c>
      <c r="N18" s="205" t="str">
        <f t="shared" ca="1" si="5"/>
        <v/>
      </c>
      <c r="O18" s="214"/>
    </row>
    <row r="19" spans="1:17" s="218" customFormat="1" ht="16.5" customHeight="1" x14ac:dyDescent="0.2">
      <c r="A19" s="38">
        <f>COUNTIF($J$1:J19,"!")</f>
        <v>1</v>
      </c>
      <c r="B19" s="204" t="str">
        <f>IFERROR(VLOOKUP(C19,元件库!$B:$O,3,FALSE),"")</f>
        <v>加热器</v>
      </c>
      <c r="C19" s="195" t="s">
        <v>101</v>
      </c>
      <c r="D19" s="203" t="str">
        <f>IFERROR(VLOOKUP(C19,元件库!$B:$O,2,FALSE),"")</f>
        <v>实德电气</v>
      </c>
      <c r="E19" s="196" t="str">
        <f t="shared" si="0"/>
        <v>只</v>
      </c>
      <c r="F19" s="196">
        <v>2</v>
      </c>
      <c r="G19" s="42">
        <f t="shared" si="1"/>
        <v>20.160000000000004</v>
      </c>
      <c r="H19" s="42">
        <f t="shared" si="2"/>
        <v>40.320000000000007</v>
      </c>
      <c r="I19" s="197"/>
      <c r="J19" s="198">
        <f t="shared" si="3"/>
        <v>1.1200000000000001</v>
      </c>
      <c r="K19" s="199">
        <f t="shared" si="4"/>
        <v>18</v>
      </c>
      <c r="L19" s="200">
        <f>IFERROR(VLOOKUP(C19,元件库!$B:$O,10,FALSE),"1.00")</f>
        <v>1</v>
      </c>
      <c r="M19" s="201">
        <f>IFERROR(VLOOKUP(C19,元件库!$B:$O,11,FALSE),"")</f>
        <v>18</v>
      </c>
      <c r="N19" s="205" t="str">
        <f t="shared" ca="1" si="5"/>
        <v/>
      </c>
      <c r="O19" s="214"/>
    </row>
    <row r="20" spans="1:17" s="218" customFormat="1" ht="16.5" customHeight="1" x14ac:dyDescent="0.2">
      <c r="A20" s="38">
        <f>COUNTIF($J$1:J20,"!")</f>
        <v>1</v>
      </c>
      <c r="B20" s="204" t="str">
        <f>IFERROR(VLOOKUP(C20,元件库!$B:$O,3,FALSE),"")</f>
        <v>高压热缩管</v>
      </c>
      <c r="C20" s="304" t="str">
        <f>"10KV"&amp;MID(C23,4,10)</f>
        <v>10KV-80*8</v>
      </c>
      <c r="D20" s="203" t="str">
        <f>IFERROR(VLOOKUP(C20,元件库!$B:$O,2,FALSE),"")</f>
        <v>精益联合集团</v>
      </c>
      <c r="E20" s="196" t="str">
        <f t="shared" si="0"/>
        <v>只</v>
      </c>
      <c r="F20" s="196">
        <f>ROUND(SUM(F23:F24),0)</f>
        <v>4</v>
      </c>
      <c r="G20" s="42">
        <f t="shared" si="1"/>
        <v>19.040000000000003</v>
      </c>
      <c r="H20" s="42">
        <f t="shared" si="2"/>
        <v>76.160000000000011</v>
      </c>
      <c r="I20" s="197"/>
      <c r="J20" s="198">
        <f t="shared" si="3"/>
        <v>1.1200000000000001</v>
      </c>
      <c r="K20" s="199">
        <f t="shared" si="4"/>
        <v>17</v>
      </c>
      <c r="L20" s="200">
        <f>IFERROR(VLOOKUP(C20,元件库!$B:$O,10,FALSE),"1.00")</f>
        <v>1</v>
      </c>
      <c r="M20" s="201">
        <f>IFERROR(VLOOKUP(C20,元件库!$B:$O,11,FALSE),"")</f>
        <v>17</v>
      </c>
      <c r="N20" s="205" t="str">
        <f t="shared" ca="1" si="5"/>
        <v/>
      </c>
      <c r="O20" s="214"/>
    </row>
    <row r="21" spans="1:17" s="218" customFormat="1" ht="16.5" customHeight="1" x14ac:dyDescent="0.2">
      <c r="A21" s="38">
        <f>COUNTIF($J$1:J21,"!")</f>
        <v>1</v>
      </c>
      <c r="B21" s="204" t="str">
        <f>IFERROR(VLOOKUP(C21,元件库!$B:$O,3,FALSE),"")</f>
        <v>铜排</v>
      </c>
      <c r="C21" s="304" t="s">
        <v>2325</v>
      </c>
      <c r="D21" s="203" t="str">
        <f>IFERROR(VLOOKUP(C21,元件库!$B:$O,2,FALSE),"")</f>
        <v>欣利铜材</v>
      </c>
      <c r="E21" s="196" t="str">
        <f t="shared" si="0"/>
        <v>米</v>
      </c>
      <c r="F21" s="196">
        <v>6</v>
      </c>
      <c r="G21" s="42">
        <f t="shared" si="1"/>
        <v>363.63263999999998</v>
      </c>
      <c r="H21" s="42">
        <f t="shared" si="2"/>
        <v>2181.7958399999998</v>
      </c>
      <c r="I21" s="197"/>
      <c r="J21" s="198">
        <f t="shared" si="3"/>
        <v>1.1200000000000001</v>
      </c>
      <c r="K21" s="199">
        <f t="shared" si="4"/>
        <v>324.67199999999997</v>
      </c>
      <c r="L21" s="200">
        <f>IFERROR(VLOOKUP(C21,元件库!$B:$O,10,FALSE),"1.00")</f>
        <v>1</v>
      </c>
      <c r="M21" s="201">
        <f>IFERROR(VLOOKUP(C21,元件库!$B:$O,11,FALSE),"")</f>
        <v>324.67199999999997</v>
      </c>
      <c r="N21" s="205" t="str">
        <f t="shared" ca="1" si="5"/>
        <v/>
      </c>
      <c r="O21" s="305" t="str">
        <f>O24</f>
        <v>HXGN-900*1000*2200</v>
      </c>
    </row>
    <row r="22" spans="1:17" s="218" customFormat="1" ht="16.5" customHeight="1" x14ac:dyDescent="0.2">
      <c r="A22" s="38">
        <f>COUNTIF($J$1:J22,"!")</f>
        <v>1</v>
      </c>
      <c r="B22" s="204" t="str">
        <f>IFERROR(VLOOKUP(C22,元件库!$B:$O,3,FALSE),"")</f>
        <v>铜排</v>
      </c>
      <c r="C22" s="304" t="s">
        <v>1910</v>
      </c>
      <c r="D22" s="203" t="str">
        <f>IFERROR(VLOOKUP(C22,元件库!$B:$O,2,FALSE),"")</f>
        <v>欣利铜材</v>
      </c>
      <c r="E22" s="196" t="str">
        <f t="shared" si="0"/>
        <v>米</v>
      </c>
      <c r="F22" s="196">
        <v>2</v>
      </c>
      <c r="G22" s="42">
        <f t="shared" si="1"/>
        <v>51.135840000000002</v>
      </c>
      <c r="H22" s="42">
        <f t="shared" si="2"/>
        <v>102.27168</v>
      </c>
      <c r="I22" s="197"/>
      <c r="J22" s="198">
        <f t="shared" si="3"/>
        <v>1.1200000000000001</v>
      </c>
      <c r="K22" s="199">
        <f t="shared" si="4"/>
        <v>45.656999999999996</v>
      </c>
      <c r="L22" s="200">
        <f>IFERROR(VLOOKUP(C22,元件库!$B:$O,10,FALSE),"1.00")</f>
        <v>1</v>
      </c>
      <c r="M22" s="201">
        <f>IFERROR(VLOOKUP(C22,元件库!$B:$O,11,FALSE),"")</f>
        <v>45.656999999999996</v>
      </c>
      <c r="N22" s="205" t="str">
        <f t="shared" ca="1" si="5"/>
        <v/>
      </c>
      <c r="O22" s="305" t="e">
        <f>#REF!</f>
        <v>#REF!</v>
      </c>
    </row>
    <row r="23" spans="1:17" s="218" customFormat="1" ht="16.5" customHeight="1" x14ac:dyDescent="0.2">
      <c r="A23" s="38">
        <f>COUNTIF($J$1:J23,"!")</f>
        <v>1</v>
      </c>
      <c r="B23" s="204" t="s">
        <v>2171</v>
      </c>
      <c r="C23" s="304" t="s">
        <v>2225</v>
      </c>
      <c r="D23" s="203" t="str">
        <f>IFERROR(VLOOKUP(C23,元件库!$B:$O,2,FALSE),"")</f>
        <v>欣利铜材</v>
      </c>
      <c r="E23" s="196" t="str">
        <f t="shared" si="0"/>
        <v>米</v>
      </c>
      <c r="F23" s="196">
        <f>1*MID(O23,FIND("-",O23)+1,FIND("*",O23)-FIND("-",O23)-1)/1000*IF(B23="水平排",3,1)+IF(AND(B23="零母排",VLOOKUP(A23,A$1:B19,2,FALSE)="低压进线柜"),1.5,0)</f>
        <v>2.7</v>
      </c>
      <c r="G23" s="42">
        <f t="shared" si="1"/>
        <v>363.63263999999998</v>
      </c>
      <c r="H23" s="42">
        <f t="shared" si="2"/>
        <v>981.80812800000001</v>
      </c>
      <c r="I23" s="197"/>
      <c r="J23" s="198">
        <f t="shared" si="3"/>
        <v>1.1200000000000001</v>
      </c>
      <c r="K23" s="199">
        <f t="shared" si="4"/>
        <v>324.67199999999997</v>
      </c>
      <c r="L23" s="200">
        <f>IFERROR(VLOOKUP(C23,元件库!$B:$O,10,FALSE),"1.00")</f>
        <v>1</v>
      </c>
      <c r="M23" s="201">
        <f>IFERROR(VLOOKUP(C23,元件库!$B:$O,11,FALSE),"")</f>
        <v>324.67199999999997</v>
      </c>
      <c r="N23" s="205" t="str">
        <f t="shared" ca="1" si="5"/>
        <v/>
      </c>
      <c r="O23" s="305" t="str">
        <f>O26</f>
        <v>HXGN-900*1000*2200</v>
      </c>
    </row>
    <row r="24" spans="1:17" s="218" customFormat="1" ht="16.5" customHeight="1" x14ac:dyDescent="0.2">
      <c r="A24" s="38">
        <f>COUNTIF($J$1:J24,"!")</f>
        <v>1</v>
      </c>
      <c r="B24" s="204" t="s">
        <v>2172</v>
      </c>
      <c r="C24" s="304" t="s">
        <v>2326</v>
      </c>
      <c r="D24" s="203" t="str">
        <f>IFERROR(VLOOKUP(C24,元件库!$B:$O,2,FALSE),"")</f>
        <v>欣利铜材</v>
      </c>
      <c r="E24" s="196" t="str">
        <f t="shared" si="0"/>
        <v>米</v>
      </c>
      <c r="F24" s="196">
        <f>1*MID(O24,FIND("-",O24)+1,FIND("*",O24)-FIND("-",O24)-1)/1000*IF(B24="水平排",3,1)+IF(AND(B24="零母排",VLOOKUP(A24,A$1:B20,2,FALSE)="低压进线柜"),1.5,0)</f>
        <v>0.9</v>
      </c>
      <c r="G24" s="42">
        <f t="shared" si="1"/>
        <v>90.908159999999995</v>
      </c>
      <c r="H24" s="42">
        <f t="shared" si="2"/>
        <v>81.817343999999991</v>
      </c>
      <c r="I24" s="197"/>
      <c r="J24" s="198">
        <f t="shared" si="3"/>
        <v>1.1200000000000001</v>
      </c>
      <c r="K24" s="199">
        <f t="shared" si="4"/>
        <v>81.167999999999992</v>
      </c>
      <c r="L24" s="200">
        <f>IFERROR(VLOOKUP(C24,元件库!$B:$O,10,FALSE),"1.00")</f>
        <v>1</v>
      </c>
      <c r="M24" s="201">
        <f>IFERROR(VLOOKUP(C24,元件库!$B:$O,11,FALSE),"")</f>
        <v>81.167999999999992</v>
      </c>
      <c r="N24" s="205" t="str">
        <f t="shared" ca="1" si="5"/>
        <v/>
      </c>
      <c r="O24" s="305" t="str">
        <f>O27</f>
        <v>HXGN-900*1000*2200</v>
      </c>
    </row>
    <row r="25" spans="1:17" s="217" customFormat="1" ht="16.5" customHeight="1" x14ac:dyDescent="0.2">
      <c r="A25" s="38">
        <f>COUNTIF($J$1:J25,"!")</f>
        <v>1</v>
      </c>
      <c r="B25" s="207" t="s">
        <v>107</v>
      </c>
      <c r="C25" s="195"/>
      <c r="D25" s="196"/>
      <c r="E25" s="196"/>
      <c r="F25" s="196"/>
      <c r="G25" s="42"/>
      <c r="H25" s="42"/>
      <c r="I25" s="306">
        <f>SUM(H3:H25)</f>
        <v>15529.652992000001</v>
      </c>
      <c r="J25" s="198"/>
      <c r="K25" s="199"/>
      <c r="L25" s="200"/>
      <c r="M25" s="201"/>
      <c r="N25" s="205"/>
      <c r="O25" s="206"/>
      <c r="P25" s="214"/>
    </row>
    <row r="26" spans="1:17" ht="16.5" customHeight="1" x14ac:dyDescent="0.2">
      <c r="A26" s="38">
        <f>COUNTIF($J$1:J26,"!")</f>
        <v>1</v>
      </c>
      <c r="B26" s="219" t="s">
        <v>47</v>
      </c>
      <c r="C26" s="195"/>
      <c r="D26" s="196"/>
      <c r="E26" s="196"/>
      <c r="F26" s="196"/>
      <c r="G26" s="42"/>
      <c r="H26" s="42">
        <f>IFERROR(J26*K26*L26,"")</f>
        <v>896.00000000000011</v>
      </c>
      <c r="I26" s="197"/>
      <c r="J26" s="198">
        <f>P$1</f>
        <v>1.1200000000000001</v>
      </c>
      <c r="K26" s="199">
        <f t="shared" si="4"/>
        <v>800</v>
      </c>
      <c r="L26" s="200" t="str">
        <f>IFERROR(VLOOKUP(C26,元件库!$B:$O,10,FALSE),"1.00")</f>
        <v>1.00</v>
      </c>
      <c r="M26" s="201">
        <f>IF(ISNUMBER(FIND("提升",VLOOKUP(C26,C$1:D25,2,FALSE))),400,IF(ISNUMBER(FIND("HXGN",O26)),800,IF(ISNUMBER(FIND("KYN28",O26)),900,"")))</f>
        <v>800</v>
      </c>
      <c r="N26" s="205"/>
      <c r="O26" s="305" t="str">
        <f>LOOKUP(0,0/((A1:A25=A26)*(B1:B25="壳体W*D*H")),C1:C25)</f>
        <v>HXGN-900*1000*2200</v>
      </c>
    </row>
    <row r="27" spans="1:17" s="206" customFormat="1" ht="16.5" customHeight="1" x14ac:dyDescent="0.2">
      <c r="A27" s="38">
        <f>COUNTIF($J$1:J27,"!")</f>
        <v>1</v>
      </c>
      <c r="B27" s="219" t="s">
        <v>49</v>
      </c>
      <c r="C27" s="195"/>
      <c r="D27" s="196"/>
      <c r="E27" s="196"/>
      <c r="F27" s="196"/>
      <c r="G27" s="42"/>
      <c r="H27" s="42">
        <f>IFERROR(J27*K27*L27,"")</f>
        <v>560</v>
      </c>
      <c r="I27" s="197"/>
      <c r="J27" s="198">
        <f>P$1</f>
        <v>1.1200000000000001</v>
      </c>
      <c r="K27" s="199">
        <f t="shared" si="4"/>
        <v>500</v>
      </c>
      <c r="L27" s="200" t="str">
        <f>IFERROR(VLOOKUP(C27,元件库!$B:$O,10,FALSE),"1.00")</f>
        <v>1.00</v>
      </c>
      <c r="M27" s="201">
        <f>IF(ISNUMBER(FIND("提升",VLOOKUP(C27,C$1:D26,2,FALSE))),300,IF(ISNUMBER(FIND("HXGN",O27)),500,IF(ISNUMBER(FIND("KYN28",O27)),700,"")))</f>
        <v>500</v>
      </c>
      <c r="N27" s="205"/>
      <c r="O27" s="305" t="str">
        <f>O26</f>
        <v>HXGN-900*1000*2200</v>
      </c>
      <c r="P27" s="217"/>
      <c r="Q27" s="217"/>
    </row>
    <row r="28" spans="1:17" s="206" customFormat="1" ht="16.5" customHeight="1" x14ac:dyDescent="0.2">
      <c r="A28" s="38">
        <f>COUNTIF($J$1:J28,"!")</f>
        <v>1</v>
      </c>
      <c r="B28" s="219" t="s">
        <v>79</v>
      </c>
      <c r="C28" s="195"/>
      <c r="D28" s="196"/>
      <c r="E28" s="196"/>
      <c r="F28" s="196"/>
      <c r="G28" s="42"/>
      <c r="H28" s="42">
        <f>K28*L28</f>
        <v>1019.1391795200002</v>
      </c>
      <c r="I28" s="197"/>
      <c r="J28" s="198"/>
      <c r="K28" s="199">
        <f>SUM(H26:H27)+I25</f>
        <v>16985.652992000003</v>
      </c>
      <c r="L28" s="275">
        <f>R$1</f>
        <v>0.06</v>
      </c>
      <c r="M28" s="201"/>
      <c r="N28" s="205"/>
      <c r="O28" s="220"/>
      <c r="P28" s="217"/>
      <c r="Q28" s="217"/>
    </row>
    <row r="29" spans="1:17" ht="16.5" customHeight="1" x14ac:dyDescent="0.2">
      <c r="A29" s="38">
        <f>COUNTIF($J$1:J29,"!")</f>
        <v>1</v>
      </c>
      <c r="B29" s="219" t="s">
        <v>108</v>
      </c>
      <c r="C29" s="195"/>
      <c r="D29" s="196"/>
      <c r="E29" s="196"/>
      <c r="F29" s="196"/>
      <c r="G29" s="209"/>
      <c r="H29" s="42">
        <f>K29*L29</f>
        <v>0</v>
      </c>
      <c r="I29" s="197"/>
      <c r="J29" s="198"/>
      <c r="K29" s="199">
        <f>H28+K28</f>
        <v>18004.792171520003</v>
      </c>
      <c r="L29" s="275">
        <f>T$1</f>
        <v>0</v>
      </c>
      <c r="M29" s="201"/>
      <c r="N29" s="205"/>
    </row>
    <row r="30" spans="1:17" s="217" customFormat="1" ht="16.5" customHeight="1" x14ac:dyDescent="0.15">
      <c r="A30" s="32">
        <f>COUNTIF($J$1:J30,"!")</f>
        <v>2</v>
      </c>
      <c r="B30" s="33" t="s">
        <v>2327</v>
      </c>
      <c r="C30" s="303" t="s">
        <v>2328</v>
      </c>
      <c r="D30" s="215" t="s">
        <v>1931</v>
      </c>
      <c r="E30" s="34" t="s">
        <v>23</v>
      </c>
      <c r="F30" s="215">
        <v>1</v>
      </c>
      <c r="G30" s="36">
        <f>ROUND(SUM(H31:H56),0)</f>
        <v>14589</v>
      </c>
      <c r="H30" s="216" t="str">
        <f>IF(ISNUMBER(FIND(" ",C31)),MID(C31,1,FIND(" ",C31)-1),IF(ISNUMBER(FIND("电容柜",B30)),"GGJ",MID(C31,1,FIND("-",C31)-1)))</f>
        <v>HXGN</v>
      </c>
      <c r="I30" s="47" t="str">
        <f>MID(C31,IF(LEN(C31)-LEN(H30)&gt;3,LEN(H30)+2,1),30)</f>
        <v>900*1000*2200</v>
      </c>
      <c r="J30" s="48" t="s">
        <v>24</v>
      </c>
      <c r="K30" s="49"/>
      <c r="L30" s="50"/>
      <c r="M30" s="51"/>
      <c r="N30" s="205"/>
      <c r="O30" s="206"/>
    </row>
    <row r="31" spans="1:17" s="217" customFormat="1" ht="16.5" customHeight="1" x14ac:dyDescent="0.2">
      <c r="A31" s="38">
        <f>COUNTIF($J$1:J31,"!")</f>
        <v>2</v>
      </c>
      <c r="B31" s="204" t="str">
        <f>IFERROR(VLOOKUP(C31,元件库!$B:$O,3,FALSE),"")</f>
        <v>壳体W*D*H</v>
      </c>
      <c r="C31" s="195" t="s">
        <v>2329</v>
      </c>
      <c r="D31" s="203" t="str">
        <f>IFERROR(VLOOKUP(C31,元件库!$B:$O,2,FALSE),"")</f>
        <v>精益联合集团</v>
      </c>
      <c r="E31" s="196" t="str">
        <f t="shared" ref="E31:E43" si="6">IF(D31="欣利铜材","米",IF(B31="氧化锌避雷器","组","只"))</f>
        <v>只</v>
      </c>
      <c r="F31" s="196">
        <v>1</v>
      </c>
      <c r="G31" s="42">
        <f t="shared" ref="G31:G43" si="7">IFERROR(J31*K31,"")</f>
        <v>2128</v>
      </c>
      <c r="H31" s="42">
        <f t="shared" ref="H31:H43" si="8">IFERROR(G31*F31,"")</f>
        <v>2128</v>
      </c>
      <c r="I31" s="197"/>
      <c r="J31" s="198">
        <f t="shared" ref="J31:J51" si="9">P$1</f>
        <v>1.1200000000000001</v>
      </c>
      <c r="K31" s="199">
        <f t="shared" ref="K31:K43" si="10">IFERROR(M31*L31,"")</f>
        <v>1900</v>
      </c>
      <c r="L31" s="200">
        <f>IFERROR(VLOOKUP(C31,元件库!$B:$O,10,FALSE),"1.00")</f>
        <v>1</v>
      </c>
      <c r="M31" s="201">
        <f>IFERROR(VLOOKUP(C31,元件库!$B:$O,11,FALSE),"")</f>
        <v>1900</v>
      </c>
      <c r="N31" s="205" t="str">
        <f t="shared" ref="N31:N51" ca="1" si="11">IF(AND(ISNUMBER(FIND("IF",_xlfn.FORMULATEXT(L31))),ISNUMBER(FIND("IF",_xlfn.FORMULATEXT(M31)))),"","值")</f>
        <v/>
      </c>
      <c r="O31" s="214"/>
      <c r="P31" s="214"/>
    </row>
    <row r="32" spans="1:17" s="218" customFormat="1" ht="16.5" customHeight="1" x14ac:dyDescent="0.2">
      <c r="A32" s="38">
        <f>COUNTIF($J$1:J32,"!")</f>
        <v>2</v>
      </c>
      <c r="B32" s="204" t="str">
        <f>IFERROR(VLOOKUP(C32,元件库!$B:$O,3,FALSE),"")</f>
        <v>隔离开关</v>
      </c>
      <c r="C32" s="195" t="s">
        <v>178</v>
      </c>
      <c r="D32" s="203" t="str">
        <f>IFERROR(VLOOKUP(C32,元件库!$B:$O,2,FALSE),"")</f>
        <v>博时达</v>
      </c>
      <c r="E32" s="196" t="str">
        <f t="shared" si="6"/>
        <v>只</v>
      </c>
      <c r="F32" s="196">
        <v>1</v>
      </c>
      <c r="G32" s="42">
        <f t="shared" si="7"/>
        <v>1792.0000000000002</v>
      </c>
      <c r="H32" s="42">
        <f t="shared" si="8"/>
        <v>1792.0000000000002</v>
      </c>
      <c r="I32" s="197"/>
      <c r="J32" s="198">
        <f t="shared" si="9"/>
        <v>1.1200000000000001</v>
      </c>
      <c r="K32" s="199">
        <f t="shared" si="10"/>
        <v>1600</v>
      </c>
      <c r="L32" s="200">
        <f>IFERROR(VLOOKUP(C32,元件库!$B:$O,10,FALSE),"1.00")</f>
        <v>1</v>
      </c>
      <c r="M32" s="201">
        <f>IFERROR(VLOOKUP(C32,元件库!$B:$O,11,FALSE),"")</f>
        <v>1600</v>
      </c>
      <c r="N32" s="205" t="str">
        <f t="shared" ca="1" si="11"/>
        <v/>
      </c>
      <c r="O32" s="214"/>
    </row>
    <row r="33" spans="1:15" s="218" customFormat="1" ht="16.5" customHeight="1" x14ac:dyDescent="0.2">
      <c r="A33" s="38">
        <f>COUNTIF($J$1:J33,"!")</f>
        <v>2</v>
      </c>
      <c r="B33" s="204" t="str">
        <f>IFERROR(VLOOKUP(C33,元件库!$B:$O,3,FALSE),"")</f>
        <v>接地开关</v>
      </c>
      <c r="C33" s="195" t="s">
        <v>154</v>
      </c>
      <c r="D33" s="203" t="str">
        <f>IFERROR(VLOOKUP(C33,元件库!$B:$O,2,FALSE),"")</f>
        <v>博时达</v>
      </c>
      <c r="E33" s="196" t="str">
        <f t="shared" si="6"/>
        <v>只</v>
      </c>
      <c r="F33" s="196">
        <v>1</v>
      </c>
      <c r="G33" s="42">
        <f t="shared" si="7"/>
        <v>616.00000000000011</v>
      </c>
      <c r="H33" s="42">
        <f t="shared" si="8"/>
        <v>616.00000000000011</v>
      </c>
      <c r="I33" s="197"/>
      <c r="J33" s="198">
        <f t="shared" si="9"/>
        <v>1.1200000000000001</v>
      </c>
      <c r="K33" s="199">
        <f t="shared" si="10"/>
        <v>550</v>
      </c>
      <c r="L33" s="200">
        <f>IFERROR(VLOOKUP(C33,元件库!$B:$O,10,FALSE),"1.00")</f>
        <v>1</v>
      </c>
      <c r="M33" s="201">
        <f>IFERROR(VLOOKUP(C33,元件库!$B:$O,11,FALSE),"")</f>
        <v>550</v>
      </c>
      <c r="N33" s="205" t="str">
        <f t="shared" ca="1" si="11"/>
        <v/>
      </c>
      <c r="O33" s="214"/>
    </row>
    <row r="34" spans="1:15" s="218" customFormat="1" ht="16.5" customHeight="1" x14ac:dyDescent="0.2">
      <c r="A34" s="38">
        <f>COUNTIF($J$1:J34,"!")</f>
        <v>2</v>
      </c>
      <c r="B34" s="204" t="str">
        <f>IFERROR(VLOOKUP(C34,元件库!$B:$O,3,FALSE),"")</f>
        <v>机械连锁</v>
      </c>
      <c r="C34" s="195" t="s">
        <v>2330</v>
      </c>
      <c r="D34" s="203" t="str">
        <f>IFERROR(VLOOKUP(C34,元件库!$B:$O,2,FALSE),"")</f>
        <v>精益联合集团</v>
      </c>
      <c r="E34" s="196" t="str">
        <f t="shared" si="6"/>
        <v>只</v>
      </c>
      <c r="F34" s="196">
        <v>1</v>
      </c>
      <c r="G34" s="42">
        <f t="shared" si="7"/>
        <v>392.00000000000006</v>
      </c>
      <c r="H34" s="42">
        <f t="shared" si="8"/>
        <v>392.00000000000006</v>
      </c>
      <c r="I34" s="197"/>
      <c r="J34" s="198">
        <f t="shared" si="9"/>
        <v>1.1200000000000001</v>
      </c>
      <c r="K34" s="199">
        <f t="shared" si="10"/>
        <v>350</v>
      </c>
      <c r="L34" s="200">
        <f>IFERROR(VLOOKUP(C34,元件库!$B:$O,10,FALSE),"1.00")</f>
        <v>1</v>
      </c>
      <c r="M34" s="201">
        <f>IFERROR(VLOOKUP(C34,元件库!$B:$O,11,FALSE),"")</f>
        <v>350</v>
      </c>
      <c r="N34" s="205" t="str">
        <f t="shared" ca="1" si="11"/>
        <v/>
      </c>
      <c r="O34" s="214"/>
    </row>
    <row r="35" spans="1:15" s="218" customFormat="1" ht="16.5" customHeight="1" x14ac:dyDescent="0.2">
      <c r="A35" s="38">
        <f>COUNTIF($J$1:J35,"!")</f>
        <v>2</v>
      </c>
      <c r="B35" s="204" t="str">
        <f>IFERROR(VLOOKUP(C35,元件库!$B:$O,3,FALSE),"")</f>
        <v/>
      </c>
      <c r="C35" s="195" t="s">
        <v>2331</v>
      </c>
      <c r="D35" s="203" t="str">
        <f>IFERROR(VLOOKUP(C35,元件库!$B:$O,2,FALSE),"")</f>
        <v/>
      </c>
      <c r="E35" s="196" t="str">
        <f t="shared" si="6"/>
        <v>只</v>
      </c>
      <c r="F35" s="196">
        <v>1</v>
      </c>
      <c r="G35" s="42" t="str">
        <f t="shared" si="7"/>
        <v/>
      </c>
      <c r="H35" s="42" t="str">
        <f t="shared" si="8"/>
        <v/>
      </c>
      <c r="I35" s="197"/>
      <c r="J35" s="198">
        <f t="shared" si="9"/>
        <v>1.1200000000000001</v>
      </c>
      <c r="K35" s="199" t="str">
        <f t="shared" si="10"/>
        <v/>
      </c>
      <c r="L35" s="200" t="str">
        <f>IFERROR(VLOOKUP(C35,元件库!$B:$O,10,FALSE),"1.00")</f>
        <v>1.00</v>
      </c>
      <c r="M35" s="201" t="str">
        <f>IFERROR(VLOOKUP(C35,元件库!$B:$O,11,FALSE),"")</f>
        <v/>
      </c>
      <c r="N35" s="205" t="str">
        <f t="shared" ca="1" si="11"/>
        <v/>
      </c>
      <c r="O35" s="214"/>
    </row>
    <row r="36" spans="1:15" s="218" customFormat="1" ht="16.5" customHeight="1" x14ac:dyDescent="0.2">
      <c r="A36" s="38">
        <f>COUNTIF($J$1:J36,"!")</f>
        <v>2</v>
      </c>
      <c r="B36" s="204" t="str">
        <f>IFERROR(VLOOKUP(C36,元件库!$B:$O,3,FALSE),"")</f>
        <v>微机保护装置</v>
      </c>
      <c r="C36" s="195" t="s">
        <v>1916</v>
      </c>
      <c r="D36" s="203" t="str">
        <f>IFERROR(VLOOKUP(C36,元件库!$B:$O,2,FALSE),"")</f>
        <v>上海桂电</v>
      </c>
      <c r="E36" s="196" t="str">
        <f t="shared" si="6"/>
        <v>只</v>
      </c>
      <c r="F36" s="196">
        <v>1</v>
      </c>
      <c r="G36" s="42">
        <f t="shared" si="7"/>
        <v>1680.0000000000002</v>
      </c>
      <c r="H36" s="42">
        <f t="shared" si="8"/>
        <v>1680.0000000000002</v>
      </c>
      <c r="I36" s="197"/>
      <c r="J36" s="198">
        <f t="shared" si="9"/>
        <v>1.1200000000000001</v>
      </c>
      <c r="K36" s="199">
        <f t="shared" si="10"/>
        <v>1500</v>
      </c>
      <c r="L36" s="200">
        <f>IFERROR(VLOOKUP(C36,元件库!$B:$O,10,FALSE),"1.00")</f>
        <v>1</v>
      </c>
      <c r="M36" s="201">
        <f>IFERROR(VLOOKUP(C36,元件库!$B:$O,11,FALSE),"")</f>
        <v>1500</v>
      </c>
      <c r="N36" s="205" t="str">
        <f t="shared" ca="1" si="11"/>
        <v/>
      </c>
      <c r="O36" s="214"/>
    </row>
    <row r="37" spans="1:15" s="218" customFormat="1" ht="16.5" customHeight="1" x14ac:dyDescent="0.2">
      <c r="A37" s="38">
        <f>COUNTIF($J$1:J37,"!")</f>
        <v>2</v>
      </c>
      <c r="B37" s="204" t="str">
        <f>IFERROR(VLOOKUP(C37,元件库!$B:$O,3,FALSE),"")</f>
        <v>电流互感器</v>
      </c>
      <c r="C37" s="195" t="s">
        <v>2224</v>
      </c>
      <c r="D37" s="203" t="str">
        <f>IFERROR(VLOOKUP(C37,元件库!$B:$O,2,FALSE),"")</f>
        <v>浙江泰成</v>
      </c>
      <c r="E37" s="196" t="str">
        <f t="shared" si="6"/>
        <v>只</v>
      </c>
      <c r="F37" s="196">
        <v>3</v>
      </c>
      <c r="G37" s="42">
        <f t="shared" si="7"/>
        <v>752.6400000000001</v>
      </c>
      <c r="H37" s="42">
        <f t="shared" si="8"/>
        <v>2257.92</v>
      </c>
      <c r="I37" s="197"/>
      <c r="J37" s="198">
        <f t="shared" si="9"/>
        <v>1.1200000000000001</v>
      </c>
      <c r="K37" s="199">
        <f t="shared" si="10"/>
        <v>672</v>
      </c>
      <c r="L37" s="200">
        <f>IFERROR(VLOOKUP(C37,元件库!$B:$O,10,FALSE),"1.00")</f>
        <v>1</v>
      </c>
      <c r="M37" s="201">
        <f>IFERROR(VLOOKUP(C37,元件库!$B:$O,11,FALSE),"")</f>
        <v>672</v>
      </c>
      <c r="N37" s="205" t="str">
        <f t="shared" ca="1" si="11"/>
        <v/>
      </c>
      <c r="O37" s="214"/>
    </row>
    <row r="38" spans="1:15" s="218" customFormat="1" ht="16.5" customHeight="1" x14ac:dyDescent="0.2">
      <c r="A38" s="38">
        <f>COUNTIF($J$1:J38,"!")</f>
        <v>2</v>
      </c>
      <c r="B38" s="204" t="str">
        <f>IFERROR(VLOOKUP(C38,元件库!$B:$O,3,FALSE),"")</f>
        <v>电流.电压表</v>
      </c>
      <c r="C38" s="195" t="s">
        <v>1899</v>
      </c>
      <c r="D38" s="203" t="str">
        <f>IFERROR(VLOOKUP(C38,元件库!$B:$O,2,FALSE),"")</f>
        <v>精益联合集团</v>
      </c>
      <c r="E38" s="196" t="str">
        <f t="shared" si="6"/>
        <v>只</v>
      </c>
      <c r="F38" s="196">
        <v>5</v>
      </c>
      <c r="G38" s="42">
        <f t="shared" si="7"/>
        <v>15.400000000000004</v>
      </c>
      <c r="H38" s="42">
        <f t="shared" si="8"/>
        <v>77.000000000000014</v>
      </c>
      <c r="I38" s="197"/>
      <c r="J38" s="198">
        <f t="shared" si="9"/>
        <v>1.1200000000000001</v>
      </c>
      <c r="K38" s="199">
        <f t="shared" si="10"/>
        <v>13.750000000000002</v>
      </c>
      <c r="L38" s="200">
        <f>IFERROR(VLOOKUP(C38,元件库!$B:$O,10,FALSE),"1.00")</f>
        <v>0.55000000000000004</v>
      </c>
      <c r="M38" s="201">
        <f>IFERROR(VLOOKUP(C38,元件库!$B:$O,11,FALSE),"")</f>
        <v>25</v>
      </c>
      <c r="N38" s="205" t="str">
        <f t="shared" ca="1" si="11"/>
        <v/>
      </c>
      <c r="O38" s="214"/>
    </row>
    <row r="39" spans="1:15" s="218" customFormat="1" ht="16.5" customHeight="1" x14ac:dyDescent="0.2">
      <c r="A39" s="38">
        <f>COUNTIF($J$1:J39,"!")</f>
        <v>2</v>
      </c>
      <c r="B39" s="204" t="str">
        <f>IFERROR(VLOOKUP(C39,元件库!$B:$O,3,FALSE),"")</f>
        <v>氧化锌避雷器</v>
      </c>
      <c r="C39" s="195" t="s">
        <v>1917</v>
      </c>
      <c r="D39" s="203" t="str">
        <f>IFERROR(VLOOKUP(C39,元件库!$B:$O,2,FALSE),"")</f>
        <v>雷恩电气</v>
      </c>
      <c r="E39" s="196" t="str">
        <f t="shared" si="6"/>
        <v>组</v>
      </c>
      <c r="F39" s="196">
        <v>1</v>
      </c>
      <c r="G39" s="42">
        <f t="shared" si="7"/>
        <v>224.00000000000003</v>
      </c>
      <c r="H39" s="42">
        <f t="shared" si="8"/>
        <v>224.00000000000003</v>
      </c>
      <c r="I39" s="197"/>
      <c r="J39" s="198">
        <f t="shared" si="9"/>
        <v>1.1200000000000001</v>
      </c>
      <c r="K39" s="199">
        <f t="shared" si="10"/>
        <v>200</v>
      </c>
      <c r="L39" s="200">
        <f>IFERROR(VLOOKUP(C39,元件库!$B:$O,10,FALSE),"1.00")</f>
        <v>1</v>
      </c>
      <c r="M39" s="201">
        <f>IFERROR(VLOOKUP(C39,元件库!$B:$O,11,FALSE),"")</f>
        <v>200</v>
      </c>
      <c r="N39" s="205" t="str">
        <f t="shared" ca="1" si="11"/>
        <v/>
      </c>
      <c r="O39" s="214"/>
    </row>
    <row r="40" spans="1:15" s="218" customFormat="1" ht="16.5" customHeight="1" x14ac:dyDescent="0.2">
      <c r="A40" s="38">
        <f>COUNTIF($J$1:J40,"!")</f>
        <v>2</v>
      </c>
      <c r="B40" s="204" t="str">
        <f>IFERROR(VLOOKUP(C40,元件库!$B:$O,3,FALSE),"")</f>
        <v>穿墙套管</v>
      </c>
      <c r="C40" s="195" t="s">
        <v>135</v>
      </c>
      <c r="D40" s="203" t="str">
        <f>IFERROR(VLOOKUP(C40,元件库!$B:$O,2,FALSE),"")</f>
        <v>福一开</v>
      </c>
      <c r="E40" s="196" t="str">
        <f t="shared" si="6"/>
        <v>只</v>
      </c>
      <c r="F40" s="196">
        <v>3</v>
      </c>
      <c r="G40" s="42">
        <f t="shared" si="7"/>
        <v>50.400000000000006</v>
      </c>
      <c r="H40" s="42">
        <f t="shared" si="8"/>
        <v>151.20000000000002</v>
      </c>
      <c r="I40" s="197"/>
      <c r="J40" s="198">
        <f t="shared" si="9"/>
        <v>1.1200000000000001</v>
      </c>
      <c r="K40" s="199">
        <f t="shared" si="10"/>
        <v>45</v>
      </c>
      <c r="L40" s="200">
        <f>IFERROR(VLOOKUP(C40,元件库!$B:$O,10,FALSE),"1.00")</f>
        <v>1</v>
      </c>
      <c r="M40" s="201">
        <f>IFERROR(VLOOKUP(C40,元件库!$B:$O,11,FALSE),"")</f>
        <v>45</v>
      </c>
      <c r="N40" s="205" t="str">
        <f t="shared" ca="1" si="11"/>
        <v/>
      </c>
      <c r="O40" s="214"/>
    </row>
    <row r="41" spans="1:15" s="218" customFormat="1" ht="16.5" customHeight="1" x14ac:dyDescent="0.2">
      <c r="A41" s="38">
        <f>COUNTIF($J$1:J41,"!")</f>
        <v>2</v>
      </c>
      <c r="B41" s="204" t="str">
        <f>IFERROR(VLOOKUP(C41,元件库!$B:$O,3,FALSE),"")</f>
        <v>支柱绝缘子</v>
      </c>
      <c r="C41" s="195" t="s">
        <v>136</v>
      </c>
      <c r="D41" s="203" t="str">
        <f>IFERROR(VLOOKUP(C41,元件库!$B:$O,2,FALSE),"")</f>
        <v>福一开</v>
      </c>
      <c r="E41" s="196" t="str">
        <f t="shared" si="6"/>
        <v>只</v>
      </c>
      <c r="F41" s="196">
        <v>3</v>
      </c>
      <c r="G41" s="42">
        <f t="shared" si="7"/>
        <v>24.64</v>
      </c>
      <c r="H41" s="42">
        <f t="shared" si="8"/>
        <v>73.92</v>
      </c>
      <c r="I41" s="197"/>
      <c r="J41" s="198">
        <f t="shared" si="9"/>
        <v>1.1200000000000001</v>
      </c>
      <c r="K41" s="199">
        <f t="shared" si="10"/>
        <v>22</v>
      </c>
      <c r="L41" s="200">
        <f>IFERROR(VLOOKUP(C41,元件库!$B:$O,10,FALSE),"1.00")</f>
        <v>1</v>
      </c>
      <c r="M41" s="201">
        <f>IFERROR(VLOOKUP(C41,元件库!$B:$O,11,FALSE),"")</f>
        <v>22</v>
      </c>
      <c r="N41" s="205" t="str">
        <f t="shared" ca="1" si="11"/>
        <v/>
      </c>
      <c r="O41" s="214"/>
    </row>
    <row r="42" spans="1:15" s="218" customFormat="1" ht="16.5" customHeight="1" x14ac:dyDescent="0.2">
      <c r="A42" s="38">
        <f>COUNTIF($J$1:J42,"!")</f>
        <v>2</v>
      </c>
      <c r="B42" s="204" t="str">
        <f>IFERROR(VLOOKUP(C42,元件库!$B:$O,3,FALSE),"")</f>
        <v>电压传感器</v>
      </c>
      <c r="C42" s="195" t="s">
        <v>137</v>
      </c>
      <c r="D42" s="203" t="str">
        <f>IFERROR(VLOOKUP(C42,元件库!$B:$O,2,FALSE),"")</f>
        <v>福一开</v>
      </c>
      <c r="E42" s="196" t="str">
        <f t="shared" si="6"/>
        <v>只</v>
      </c>
      <c r="F42" s="196">
        <v>1</v>
      </c>
      <c r="G42" s="42">
        <f t="shared" si="7"/>
        <v>104.16000000000001</v>
      </c>
      <c r="H42" s="42">
        <f t="shared" si="8"/>
        <v>104.16000000000001</v>
      </c>
      <c r="I42" s="197"/>
      <c r="J42" s="198">
        <f t="shared" si="9"/>
        <v>1.1200000000000001</v>
      </c>
      <c r="K42" s="199">
        <f t="shared" si="10"/>
        <v>93</v>
      </c>
      <c r="L42" s="200">
        <f>IFERROR(VLOOKUP(C42,元件库!$B:$O,10,FALSE),"1.00")</f>
        <v>1</v>
      </c>
      <c r="M42" s="201">
        <f>IFERROR(VLOOKUP(C42,元件库!$B:$O,11,FALSE),"")</f>
        <v>93</v>
      </c>
      <c r="N42" s="205" t="str">
        <f t="shared" ca="1" si="11"/>
        <v/>
      </c>
      <c r="O42" s="214"/>
    </row>
    <row r="43" spans="1:15" s="218" customFormat="1" ht="16.5" customHeight="1" x14ac:dyDescent="0.2">
      <c r="A43" s="38">
        <f>COUNTIF($J$1:J43,"!")</f>
        <v>2</v>
      </c>
      <c r="B43" s="204" t="str">
        <f>IFERROR(VLOOKUP(C43,元件库!$B:$O,3,FALSE),"")</f>
        <v>带电显示器</v>
      </c>
      <c r="C43" s="195" t="s">
        <v>152</v>
      </c>
      <c r="D43" s="203" t="str">
        <f>IFERROR(VLOOKUP(C43,元件库!$B:$O,2,FALSE),"")</f>
        <v>江山鑫源</v>
      </c>
      <c r="E43" s="196" t="str">
        <f t="shared" si="6"/>
        <v>只</v>
      </c>
      <c r="F43" s="196">
        <v>1</v>
      </c>
      <c r="G43" s="42">
        <f t="shared" si="7"/>
        <v>36.96</v>
      </c>
      <c r="H43" s="42">
        <f t="shared" si="8"/>
        <v>36.96</v>
      </c>
      <c r="I43" s="197"/>
      <c r="J43" s="198">
        <f t="shared" si="9"/>
        <v>1.1200000000000001</v>
      </c>
      <c r="K43" s="199">
        <f t="shared" si="10"/>
        <v>33</v>
      </c>
      <c r="L43" s="200">
        <f>IFERROR(VLOOKUP(C43,元件库!$B:$O,10,FALSE),"1.00")</f>
        <v>1</v>
      </c>
      <c r="M43" s="201">
        <f>IFERROR(VLOOKUP(C43,元件库!$B:$O,11,FALSE),"")</f>
        <v>33</v>
      </c>
      <c r="N43" s="205" t="str">
        <f t="shared" ca="1" si="11"/>
        <v/>
      </c>
      <c r="O43" s="214"/>
    </row>
    <row r="44" spans="1:15" s="218" customFormat="1" ht="16.5" customHeight="1" x14ac:dyDescent="0.2">
      <c r="A44" s="38">
        <f>COUNTIF($J$1:J44,"!")</f>
        <v>2</v>
      </c>
      <c r="B44" s="204" t="str">
        <f>IFERROR(VLOOKUP(C44,元件库!$B:$O,3,FALSE),"")</f>
        <v>电磁锁</v>
      </c>
      <c r="C44" s="195" t="s">
        <v>98</v>
      </c>
      <c r="D44" s="203" t="str">
        <f>IFERROR(VLOOKUP(C44,元件库!$B:$O,2,FALSE),"")</f>
        <v>哈陆拉</v>
      </c>
      <c r="E44" s="196" t="str">
        <f>IF(D44="欣利铜材","米",IF(B44="氧化锌避雷器","组","只"))</f>
        <v>只</v>
      </c>
      <c r="F44" s="196">
        <v>1</v>
      </c>
      <c r="G44" s="42">
        <f>IFERROR(J44*K44,"")</f>
        <v>61.600000000000009</v>
      </c>
      <c r="H44" s="42">
        <f>IFERROR(G44*F44,"")</f>
        <v>61.600000000000009</v>
      </c>
      <c r="I44" s="197"/>
      <c r="J44" s="198">
        <f t="shared" si="9"/>
        <v>1.1200000000000001</v>
      </c>
      <c r="K44" s="199">
        <f>IFERROR(M44*L44,"")</f>
        <v>55</v>
      </c>
      <c r="L44" s="200">
        <f>IFERROR(VLOOKUP(C44,元件库!$B:$O,10,FALSE),"1.00")</f>
        <v>1</v>
      </c>
      <c r="M44" s="201">
        <f>IFERROR(VLOOKUP(C44,元件库!$B:$O,11,FALSE),"")</f>
        <v>55</v>
      </c>
      <c r="N44" s="205" t="str">
        <f t="shared" ca="1" si="11"/>
        <v/>
      </c>
      <c r="O44" s="214"/>
    </row>
    <row r="45" spans="1:15" s="218" customFormat="1" ht="16.5" customHeight="1" x14ac:dyDescent="0.2">
      <c r="A45" s="38">
        <f>COUNTIF($J$1:J45,"!")</f>
        <v>2</v>
      </c>
      <c r="B45" s="204" t="str">
        <f>IFERROR(VLOOKUP(C45,元件库!$B:$O,3,FALSE),"")</f>
        <v>温湿度控制器</v>
      </c>
      <c r="C45" s="195" t="s">
        <v>153</v>
      </c>
      <c r="D45" s="203" t="str">
        <f>IFERROR(VLOOKUP(C45,元件库!$B:$O,2,FALSE),"")</f>
        <v>实德电气</v>
      </c>
      <c r="E45" s="196" t="str">
        <f t="shared" ref="E45:E51" si="12">IF(D45="欣利铜材","米",IF(B45="氧化锌避雷器","组","只"))</f>
        <v>只</v>
      </c>
      <c r="F45" s="196">
        <v>1</v>
      </c>
      <c r="G45" s="42">
        <f t="shared" ref="G45:G51" si="13">IFERROR(J45*K45,"")</f>
        <v>123.20000000000002</v>
      </c>
      <c r="H45" s="42">
        <f t="shared" ref="H45:H51" si="14">IFERROR(G45*F45,"")</f>
        <v>123.20000000000002</v>
      </c>
      <c r="I45" s="197"/>
      <c r="J45" s="198">
        <f t="shared" si="9"/>
        <v>1.1200000000000001</v>
      </c>
      <c r="K45" s="199">
        <f t="shared" ref="K45:K51" si="15">IFERROR(M45*L45,"")</f>
        <v>110</v>
      </c>
      <c r="L45" s="200">
        <f>IFERROR(VLOOKUP(C45,元件库!$B:$O,10,FALSE),"1.00")</f>
        <v>1</v>
      </c>
      <c r="M45" s="201">
        <f>IFERROR(VLOOKUP(C45,元件库!$B:$O,11,FALSE),"")</f>
        <v>110</v>
      </c>
      <c r="N45" s="205" t="str">
        <f t="shared" ca="1" si="11"/>
        <v/>
      </c>
      <c r="O45" s="214"/>
    </row>
    <row r="46" spans="1:15" s="218" customFormat="1" ht="16.5" customHeight="1" x14ac:dyDescent="0.2">
      <c r="A46" s="38">
        <f>COUNTIF($J$1:J46,"!")</f>
        <v>2</v>
      </c>
      <c r="B46" s="204" t="str">
        <f>IFERROR(VLOOKUP(C46,元件库!$B:$O,3,FALSE),"")</f>
        <v>加热器</v>
      </c>
      <c r="C46" s="195" t="s">
        <v>101</v>
      </c>
      <c r="D46" s="203" t="str">
        <f>IFERROR(VLOOKUP(C46,元件库!$B:$O,2,FALSE),"")</f>
        <v>实德电气</v>
      </c>
      <c r="E46" s="196" t="str">
        <f t="shared" si="12"/>
        <v>只</v>
      </c>
      <c r="F46" s="196">
        <v>2</v>
      </c>
      <c r="G46" s="42">
        <f t="shared" si="13"/>
        <v>20.160000000000004</v>
      </c>
      <c r="H46" s="42">
        <f t="shared" si="14"/>
        <v>40.320000000000007</v>
      </c>
      <c r="I46" s="197"/>
      <c r="J46" s="198">
        <f t="shared" si="9"/>
        <v>1.1200000000000001</v>
      </c>
      <c r="K46" s="199">
        <f t="shared" si="15"/>
        <v>18</v>
      </c>
      <c r="L46" s="200">
        <f>IFERROR(VLOOKUP(C46,元件库!$B:$O,10,FALSE),"1.00")</f>
        <v>1</v>
      </c>
      <c r="M46" s="201">
        <f>IFERROR(VLOOKUP(C46,元件库!$B:$O,11,FALSE),"")</f>
        <v>18</v>
      </c>
      <c r="N46" s="205" t="str">
        <f t="shared" ca="1" si="11"/>
        <v/>
      </c>
      <c r="O46" s="214"/>
    </row>
    <row r="47" spans="1:15" s="218" customFormat="1" ht="16.5" customHeight="1" x14ac:dyDescent="0.2">
      <c r="A47" s="38">
        <f>COUNTIF($J$1:J47,"!")</f>
        <v>2</v>
      </c>
      <c r="B47" s="204" t="str">
        <f>IFERROR(VLOOKUP(C47,元件库!$B:$O,3,FALSE),"")</f>
        <v>高压热缩管</v>
      </c>
      <c r="C47" s="304" t="str">
        <f>"10KV"&amp;MID(C50,4,10)</f>
        <v>10KV-80*8</v>
      </c>
      <c r="D47" s="203" t="str">
        <f>IFERROR(VLOOKUP(C47,元件库!$B:$O,2,FALSE),"")</f>
        <v>精益联合集团</v>
      </c>
      <c r="E47" s="196" t="str">
        <f t="shared" si="12"/>
        <v>只</v>
      </c>
      <c r="F47" s="196">
        <f>ROUND(SUM(F50:F51),0)</f>
        <v>4</v>
      </c>
      <c r="G47" s="42">
        <f t="shared" si="13"/>
        <v>19.040000000000003</v>
      </c>
      <c r="H47" s="42">
        <f t="shared" si="14"/>
        <v>76.160000000000011</v>
      </c>
      <c r="I47" s="197"/>
      <c r="J47" s="198">
        <f t="shared" si="9"/>
        <v>1.1200000000000001</v>
      </c>
      <c r="K47" s="199">
        <f t="shared" si="15"/>
        <v>17</v>
      </c>
      <c r="L47" s="200">
        <f>IFERROR(VLOOKUP(C47,元件库!$B:$O,10,FALSE),"1.00")</f>
        <v>1</v>
      </c>
      <c r="M47" s="201">
        <f>IFERROR(VLOOKUP(C47,元件库!$B:$O,11,FALSE),"")</f>
        <v>17</v>
      </c>
      <c r="N47" s="205" t="str">
        <f t="shared" ca="1" si="11"/>
        <v/>
      </c>
      <c r="O47" s="214"/>
    </row>
    <row r="48" spans="1:15" s="218" customFormat="1" ht="16.5" customHeight="1" x14ac:dyDescent="0.2">
      <c r="A48" s="38">
        <f>COUNTIF($J$1:J48,"!")</f>
        <v>2</v>
      </c>
      <c r="B48" s="204" t="str">
        <f>IFERROR(VLOOKUP(C48,元件库!$B:$O,3,FALSE),"")</f>
        <v>铜排</v>
      </c>
      <c r="C48" s="304" t="s">
        <v>1889</v>
      </c>
      <c r="D48" s="203" t="str">
        <f>IFERROR(VLOOKUP(C48,元件库!$B:$O,2,FALSE),"")</f>
        <v>欣利铜材</v>
      </c>
      <c r="E48" s="196" t="str">
        <f t="shared" si="12"/>
        <v>米</v>
      </c>
      <c r="F48" s="196">
        <v>6</v>
      </c>
      <c r="G48" s="42">
        <f t="shared" si="13"/>
        <v>204.54336000000001</v>
      </c>
      <c r="H48" s="42">
        <f t="shared" si="14"/>
        <v>1227.26016</v>
      </c>
      <c r="I48" s="197"/>
      <c r="J48" s="198">
        <f t="shared" si="9"/>
        <v>1.1200000000000001</v>
      </c>
      <c r="K48" s="199">
        <f t="shared" si="15"/>
        <v>182.62799999999999</v>
      </c>
      <c r="L48" s="200">
        <f>IFERROR(VLOOKUP(C48,元件库!$B:$O,10,FALSE),"1.00")</f>
        <v>1</v>
      </c>
      <c r="M48" s="201">
        <f>IFERROR(VLOOKUP(C48,元件库!$B:$O,11,FALSE),"")</f>
        <v>182.62799999999999</v>
      </c>
      <c r="N48" s="205" t="str">
        <f t="shared" ca="1" si="11"/>
        <v/>
      </c>
      <c r="O48" s="305" t="str">
        <f>O51</f>
        <v>HXGN-900*1000*2200</v>
      </c>
    </row>
    <row r="49" spans="1:20" s="218" customFormat="1" ht="16.5" customHeight="1" x14ac:dyDescent="0.2">
      <c r="A49" s="38">
        <f>COUNTIF($J$1:J49,"!")</f>
        <v>2</v>
      </c>
      <c r="B49" s="204" t="str">
        <f>IFERROR(VLOOKUP(C49,元件库!$B:$O,3,FALSE),"")</f>
        <v>铜排</v>
      </c>
      <c r="C49" s="304" t="s">
        <v>2326</v>
      </c>
      <c r="D49" s="203" t="str">
        <f>IFERROR(VLOOKUP(C49,元件库!$B:$O,2,FALSE),"")</f>
        <v>欣利铜材</v>
      </c>
      <c r="E49" s="196" t="str">
        <f t="shared" si="12"/>
        <v>米</v>
      </c>
      <c r="F49" s="196">
        <v>2</v>
      </c>
      <c r="G49" s="42">
        <f t="shared" si="13"/>
        <v>90.908159999999995</v>
      </c>
      <c r="H49" s="42">
        <f t="shared" si="14"/>
        <v>181.81631999999999</v>
      </c>
      <c r="I49" s="197"/>
      <c r="J49" s="198">
        <f t="shared" si="9"/>
        <v>1.1200000000000001</v>
      </c>
      <c r="K49" s="199">
        <f t="shared" si="15"/>
        <v>81.167999999999992</v>
      </c>
      <c r="L49" s="200">
        <f>IFERROR(VLOOKUP(C49,元件库!$B:$O,10,FALSE),"1.00")</f>
        <v>1</v>
      </c>
      <c r="M49" s="201">
        <f>IFERROR(VLOOKUP(C49,元件库!$B:$O,11,FALSE),"")</f>
        <v>81.167999999999992</v>
      </c>
      <c r="N49" s="205" t="str">
        <f t="shared" ca="1" si="11"/>
        <v/>
      </c>
      <c r="O49" s="305" t="e">
        <f>#REF!</f>
        <v>#REF!</v>
      </c>
    </row>
    <row r="50" spans="1:20" s="218" customFormat="1" ht="16.5" customHeight="1" x14ac:dyDescent="0.2">
      <c r="A50" s="38">
        <f>COUNTIF($J$1:J50,"!")</f>
        <v>2</v>
      </c>
      <c r="B50" s="204" t="s">
        <v>2171</v>
      </c>
      <c r="C50" s="304" t="s">
        <v>2225</v>
      </c>
      <c r="D50" s="203" t="str">
        <f>IFERROR(VLOOKUP(C50,元件库!$B:$O,2,FALSE),"")</f>
        <v>欣利铜材</v>
      </c>
      <c r="E50" s="196" t="str">
        <f t="shared" si="12"/>
        <v>米</v>
      </c>
      <c r="F50" s="196">
        <f>1*MID(O50,FIND("-",O50)+1,FIND("*",O50)-FIND("-",O50)-1)/1000*IF(B50="水平排",3,1)+IF(AND(B50="零母排",VLOOKUP(A50,A$1:B46,2,FALSE)="低压进线柜"),1.5,0)</f>
        <v>2.7</v>
      </c>
      <c r="G50" s="42">
        <f t="shared" si="13"/>
        <v>363.63263999999998</v>
      </c>
      <c r="H50" s="42">
        <f t="shared" si="14"/>
        <v>981.80812800000001</v>
      </c>
      <c r="I50" s="197"/>
      <c r="J50" s="198">
        <f t="shared" si="9"/>
        <v>1.1200000000000001</v>
      </c>
      <c r="K50" s="199">
        <f t="shared" si="15"/>
        <v>324.67199999999997</v>
      </c>
      <c r="L50" s="200">
        <f>IFERROR(VLOOKUP(C50,元件库!$B:$O,10,FALSE),"1.00")</f>
        <v>1</v>
      </c>
      <c r="M50" s="201">
        <f>IFERROR(VLOOKUP(C50,元件库!$B:$O,11,FALSE),"")</f>
        <v>324.67199999999997</v>
      </c>
      <c r="N50" s="205" t="str">
        <f t="shared" ca="1" si="11"/>
        <v/>
      </c>
      <c r="O50" s="305" t="str">
        <f>O53</f>
        <v>HXGN-900*1000*2200</v>
      </c>
    </row>
    <row r="51" spans="1:20" s="218" customFormat="1" ht="16.5" customHeight="1" x14ac:dyDescent="0.2">
      <c r="A51" s="38">
        <f>COUNTIF($J$1:J51,"!")</f>
        <v>2</v>
      </c>
      <c r="B51" s="204" t="s">
        <v>2172</v>
      </c>
      <c r="C51" s="304" t="s">
        <v>2326</v>
      </c>
      <c r="D51" s="203" t="str">
        <f>IFERROR(VLOOKUP(C51,元件库!$B:$O,2,FALSE),"")</f>
        <v>欣利铜材</v>
      </c>
      <c r="E51" s="196" t="str">
        <f t="shared" si="12"/>
        <v>米</v>
      </c>
      <c r="F51" s="196">
        <f>1*MID(O51,FIND("-",O51)+1,FIND("*",O51)-FIND("-",O51)-1)/1000*IF(B51="水平排",3,1)+IF(AND(B51="零母排",VLOOKUP(A51,A$1:B47,2,FALSE)="低压进线柜"),1.5,0)</f>
        <v>0.9</v>
      </c>
      <c r="G51" s="42">
        <f t="shared" si="13"/>
        <v>90.908159999999995</v>
      </c>
      <c r="H51" s="42">
        <f t="shared" si="14"/>
        <v>81.817343999999991</v>
      </c>
      <c r="I51" s="197"/>
      <c r="J51" s="198">
        <f t="shared" si="9"/>
        <v>1.1200000000000001</v>
      </c>
      <c r="K51" s="199">
        <f t="shared" si="15"/>
        <v>81.167999999999992</v>
      </c>
      <c r="L51" s="200">
        <f>IFERROR(VLOOKUP(C51,元件库!$B:$O,10,FALSE),"1.00")</f>
        <v>1</v>
      </c>
      <c r="M51" s="201">
        <f>IFERROR(VLOOKUP(C51,元件库!$B:$O,11,FALSE),"")</f>
        <v>81.167999999999992</v>
      </c>
      <c r="N51" s="205" t="str">
        <f t="shared" ca="1" si="11"/>
        <v/>
      </c>
      <c r="O51" s="305" t="str">
        <f>O54</f>
        <v>HXGN-900*1000*2200</v>
      </c>
    </row>
    <row r="52" spans="1:20" s="217" customFormat="1" ht="16.5" customHeight="1" x14ac:dyDescent="0.2">
      <c r="A52" s="38">
        <f>COUNTIF($J$1:J52,"!")</f>
        <v>2</v>
      </c>
      <c r="B52" s="207" t="s">
        <v>107</v>
      </c>
      <c r="C52" s="195"/>
      <c r="D52" s="196"/>
      <c r="E52" s="196"/>
      <c r="F52" s="196"/>
      <c r="G52" s="42"/>
      <c r="H52" s="42"/>
      <c r="I52" s="306">
        <f>SUM(H31:H52)</f>
        <v>12307.141952</v>
      </c>
      <c r="J52" s="198"/>
      <c r="K52" s="199"/>
      <c r="L52" s="200"/>
      <c r="M52" s="201"/>
      <c r="N52" s="205"/>
      <c r="O52" s="206"/>
      <c r="P52" s="214"/>
    </row>
    <row r="53" spans="1:20" ht="16.5" customHeight="1" x14ac:dyDescent="0.2">
      <c r="A53" s="38">
        <f>COUNTIF($J$1:J53,"!")</f>
        <v>2</v>
      </c>
      <c r="B53" s="219" t="s">
        <v>47</v>
      </c>
      <c r="C53" s="195"/>
      <c r="D53" s="196"/>
      <c r="E53" s="196"/>
      <c r="F53" s="196"/>
      <c r="G53" s="42"/>
      <c r="H53" s="42">
        <f>IFERROR(J53*K53*L53,"")</f>
        <v>896.00000000000011</v>
      </c>
      <c r="I53" s="197"/>
      <c r="J53" s="198">
        <f>P$1</f>
        <v>1.1200000000000001</v>
      </c>
      <c r="K53" s="199">
        <f t="shared" ref="K53:K54" si="16">IFERROR(M53*L53,"")</f>
        <v>800</v>
      </c>
      <c r="L53" s="200" t="str">
        <f>IFERROR(VLOOKUP(C53,元件库!$B:$O,10,FALSE),"1.00")</f>
        <v>1.00</v>
      </c>
      <c r="M53" s="201">
        <f>IF(ISNUMBER(FIND("提升",VLOOKUP(C53,C$1:D52,2,FALSE))),400,IF(ISNUMBER(FIND("HXGN",O53)),800,IF(ISNUMBER(FIND("KYN28",O53)),900,"")))</f>
        <v>800</v>
      </c>
      <c r="N53" s="205"/>
      <c r="O53" s="305" t="str">
        <f>LOOKUP(0,0/((A29:A52=A53)*(B29:B52="壳体W*D*H")),C29:C52)</f>
        <v>HXGN-900*1000*2200</v>
      </c>
    </row>
    <row r="54" spans="1:20" s="206" customFormat="1" ht="16.5" customHeight="1" x14ac:dyDescent="0.2">
      <c r="A54" s="38">
        <f>COUNTIF($J$1:J54,"!")</f>
        <v>2</v>
      </c>
      <c r="B54" s="219" t="s">
        <v>49</v>
      </c>
      <c r="C54" s="195"/>
      <c r="D54" s="196"/>
      <c r="E54" s="196"/>
      <c r="F54" s="196"/>
      <c r="G54" s="42"/>
      <c r="H54" s="42">
        <f>IFERROR(J54*K54*L54,"")</f>
        <v>560</v>
      </c>
      <c r="I54" s="197"/>
      <c r="J54" s="198">
        <f>P$1</f>
        <v>1.1200000000000001</v>
      </c>
      <c r="K54" s="199">
        <f t="shared" si="16"/>
        <v>500</v>
      </c>
      <c r="L54" s="200" t="str">
        <f>IFERROR(VLOOKUP(C54,元件库!$B:$O,10,FALSE),"1.00")</f>
        <v>1.00</v>
      </c>
      <c r="M54" s="201">
        <f>IF(ISNUMBER(FIND("提升",VLOOKUP(C54,C$1:D53,2,FALSE))),300,IF(ISNUMBER(FIND("HXGN",O54)),500,IF(ISNUMBER(FIND("KYN28",O54)),700,"")))</f>
        <v>500</v>
      </c>
      <c r="N54" s="205"/>
      <c r="O54" s="305" t="str">
        <f>O53</f>
        <v>HXGN-900*1000*2200</v>
      </c>
      <c r="P54" s="217"/>
      <c r="Q54" s="217"/>
    </row>
    <row r="55" spans="1:20" s="206" customFormat="1" ht="16.5" customHeight="1" x14ac:dyDescent="0.2">
      <c r="A55" s="38">
        <f>COUNTIF($J$1:J55,"!")</f>
        <v>2</v>
      </c>
      <c r="B55" s="219" t="s">
        <v>79</v>
      </c>
      <c r="C55" s="195"/>
      <c r="D55" s="196"/>
      <c r="E55" s="196"/>
      <c r="F55" s="196"/>
      <c r="G55" s="42"/>
      <c r="H55" s="42">
        <f>K55*L55</f>
        <v>825.78851711999994</v>
      </c>
      <c r="I55" s="197"/>
      <c r="J55" s="198"/>
      <c r="K55" s="199">
        <f>SUM(H53:H54)+I52</f>
        <v>13763.141952</v>
      </c>
      <c r="L55" s="275">
        <f>R$1</f>
        <v>0.06</v>
      </c>
      <c r="M55" s="201"/>
      <c r="N55" s="205"/>
      <c r="O55" s="220"/>
      <c r="P55" s="217"/>
      <c r="Q55" s="217"/>
    </row>
    <row r="56" spans="1:20" ht="16.5" customHeight="1" x14ac:dyDescent="0.2">
      <c r="A56" s="38">
        <f>COUNTIF($J$1:J56,"!")</f>
        <v>2</v>
      </c>
      <c r="B56" s="219" t="s">
        <v>108</v>
      </c>
      <c r="C56" s="195"/>
      <c r="D56" s="196"/>
      <c r="E56" s="196"/>
      <c r="F56" s="196"/>
      <c r="G56" s="209"/>
      <c r="H56" s="42">
        <f>K56*L56</f>
        <v>0</v>
      </c>
      <c r="I56" s="197"/>
      <c r="J56" s="198"/>
      <c r="K56" s="199">
        <f>H55+K55</f>
        <v>14588.93046912</v>
      </c>
      <c r="L56" s="275">
        <f>T$1</f>
        <v>0</v>
      </c>
      <c r="M56" s="201"/>
      <c r="N56" s="205"/>
    </row>
    <row r="57" spans="1:20" ht="16.5" customHeight="1" x14ac:dyDescent="0.15">
      <c r="A57" s="32">
        <f>COUNTIF($J$1:J57,"!")</f>
        <v>3</v>
      </c>
      <c r="B57" s="33" t="s">
        <v>159</v>
      </c>
      <c r="C57" s="307" t="s">
        <v>2332</v>
      </c>
      <c r="D57" s="215" t="s">
        <v>1931</v>
      </c>
      <c r="E57" s="34" t="s">
        <v>23</v>
      </c>
      <c r="F57" s="215">
        <v>1</v>
      </c>
      <c r="G57" s="36">
        <f>ROUND(SUMIF(A58:A64,A57,H58:H64),0)</f>
        <v>18870</v>
      </c>
      <c r="H57" s="216" t="str">
        <f>IF(ISNUMBER(FIND(" ",C58)),MID(C58,1,FIND(" ",C58)-1),IF(ISNUMBER(FIND("电容柜",B57)),"GGJ",MID(C58,1,FIND("-",C58)-1)))</f>
        <v>DFW</v>
      </c>
      <c r="I57" s="47" t="str">
        <f>MID(C58,IF(LEN(C58)-LEN(H57)&gt;3,LEN(H57)+2,1),30)</f>
        <v>3200*1500*2650</v>
      </c>
      <c r="J57" s="48" t="s">
        <v>24</v>
      </c>
      <c r="K57" s="49"/>
      <c r="L57" s="50"/>
      <c r="M57" s="51"/>
      <c r="N57" s="205"/>
    </row>
    <row r="58" spans="1:20" ht="16.5" customHeight="1" x14ac:dyDescent="0.2">
      <c r="A58" s="38">
        <f>COUNTIF($J$1:J58,"!")</f>
        <v>3</v>
      </c>
      <c r="B58" s="204" t="s">
        <v>25</v>
      </c>
      <c r="C58" s="195" t="s">
        <v>2333</v>
      </c>
      <c r="D58" s="203" t="s">
        <v>3242</v>
      </c>
      <c r="E58" s="196" t="s">
        <v>29</v>
      </c>
      <c r="F58" s="196">
        <v>1</v>
      </c>
      <c r="G58" s="42">
        <f>IFERROR(J58*K58,"")</f>
        <v>16233.504000000001</v>
      </c>
      <c r="H58" s="42">
        <f>IFERROR(G58*F58,"")</f>
        <v>16233.504000000001</v>
      </c>
      <c r="I58" s="197"/>
      <c r="J58" s="198">
        <f>P$1</f>
        <v>1.1200000000000001</v>
      </c>
      <c r="K58" s="199">
        <f>IFERROR(M58*L58,"")</f>
        <v>14494.199999999999</v>
      </c>
      <c r="L58" s="200" t="str">
        <f>IFERROR(VLOOKUP(C58,元件库!$B:$O,10,FALSE),"1.00")</f>
        <v>1.00</v>
      </c>
      <c r="M58" s="201">
        <f>P58*Q58</f>
        <v>14494.199999999999</v>
      </c>
      <c r="N58" s="205" t="str">
        <f t="shared" ref="N58" ca="1" si="17">IF(AND(ISNUMBER(FIND("IF",_xlfn.FORMULATEXT(L58))),ISNUMBER(FIND("IF",_xlfn.FORMULATEXT(M58)))),"","值")</f>
        <v>值</v>
      </c>
      <c r="O58" s="214"/>
      <c r="P58" s="214">
        <v>420</v>
      </c>
      <c r="Q58" s="206">
        <f>IFERROR(((MID(C58,FIND("-",C58)+1,FIND("*",C58)-FIND("-",C58)-1)*MID(C58,FIND("*",C58)+1,FIND("*",MID(C58,FIND("*",C58)+1,30))-1))+(MID(C58,FIND("-",C58)+1,FIND("*",C58)-FIND("-",C58)-1)*MID(C58,FIND("*",C58)+1+FIND("*",MID(C58,FIND("*",C58)+1,30)),30))+(MID(C58,FIND("*",C58)+1,FIND("*",MID(C58,FIND("*",C58)+1,30))-1)*MID(C58,FIND("*",C58)+1+FIND("*",MID(C58,FIND("*",C58)+1,30)),30)))/500000,"")</f>
        <v>34.51</v>
      </c>
      <c r="R58" s="206"/>
      <c r="S58" s="206"/>
      <c r="T58" s="206"/>
    </row>
    <row r="59" spans="1:20" ht="16.5" customHeight="1" x14ac:dyDescent="0.2">
      <c r="A59" s="38">
        <f>COUNTIF($J$1:J59,"!")</f>
        <v>3</v>
      </c>
      <c r="B59" s="207" t="s">
        <v>107</v>
      </c>
      <c r="C59" s="195"/>
      <c r="D59" s="196"/>
      <c r="E59" s="196"/>
      <c r="F59" s="196"/>
      <c r="G59" s="42"/>
      <c r="H59" s="42"/>
      <c r="I59" s="306">
        <f>SUM(H58:H59)</f>
        <v>16233.504000000001</v>
      </c>
      <c r="J59" s="198"/>
      <c r="K59" s="199"/>
      <c r="L59" s="200"/>
      <c r="M59" s="201"/>
      <c r="N59" s="205"/>
      <c r="R59" s="206"/>
      <c r="S59" s="206"/>
      <c r="T59" s="206"/>
    </row>
    <row r="60" spans="1:20" ht="16.5" customHeight="1" x14ac:dyDescent="0.2">
      <c r="A60" s="38">
        <f>COUNTIF($J$1:J60,"!")</f>
        <v>3</v>
      </c>
      <c r="B60" s="219" t="s">
        <v>47</v>
      </c>
      <c r="C60" s="195"/>
      <c r="D60" s="196"/>
      <c r="E60" s="196"/>
      <c r="F60" s="196"/>
      <c r="G60" s="42"/>
      <c r="H60" s="42">
        <f>IFERROR(J60*K60,"")</f>
        <v>896.00000000000011</v>
      </c>
      <c r="I60" s="197"/>
      <c r="J60" s="198">
        <f>P$1</f>
        <v>1.1200000000000001</v>
      </c>
      <c r="K60" s="199">
        <f t="shared" ref="K60:K62" si="18">IFERROR(M60*L60,"")</f>
        <v>800</v>
      </c>
      <c r="L60" s="200" t="str">
        <f>IFERROR(VLOOKUP(C60,元件库!$B:$O,10,FALSE),"1.00")</f>
        <v>1.00</v>
      </c>
      <c r="M60" s="201">
        <v>800</v>
      </c>
      <c r="N60" s="205"/>
      <c r="R60" s="206"/>
      <c r="S60" s="206"/>
      <c r="T60" s="206"/>
    </row>
    <row r="61" spans="1:20" s="206" customFormat="1" ht="16.5" customHeight="1" x14ac:dyDescent="0.2">
      <c r="A61" s="38">
        <f>COUNTIF($J$1:J61,"!")</f>
        <v>3</v>
      </c>
      <c r="B61" s="219" t="s">
        <v>49</v>
      </c>
      <c r="C61" s="195"/>
      <c r="D61" s="196"/>
      <c r="E61" s="196"/>
      <c r="F61" s="196"/>
      <c r="G61" s="42"/>
      <c r="H61" s="42">
        <f>IFERROR(J61*K61,"")</f>
        <v>336.00000000000006</v>
      </c>
      <c r="I61" s="197"/>
      <c r="J61" s="198">
        <f>P$1</f>
        <v>1.1200000000000001</v>
      </c>
      <c r="K61" s="199">
        <f t="shared" si="18"/>
        <v>300</v>
      </c>
      <c r="L61" s="200" t="str">
        <f>IFERROR(VLOOKUP(C61,元件库!$B:$O,10,FALSE),"1.00")</f>
        <v>1.00</v>
      </c>
      <c r="M61" s="201">
        <v>300</v>
      </c>
      <c r="N61" s="205"/>
      <c r="O61" s="220"/>
      <c r="P61" s="217"/>
      <c r="Q61" s="217"/>
      <c r="R61" s="214"/>
      <c r="S61" s="214"/>
      <c r="T61" s="214"/>
    </row>
    <row r="62" spans="1:20" s="206" customFormat="1" ht="16.5" customHeight="1" x14ac:dyDescent="0.2">
      <c r="A62" s="38">
        <f>COUNTIF($J$1:J62,"!")</f>
        <v>3</v>
      </c>
      <c r="B62" s="219" t="s">
        <v>50</v>
      </c>
      <c r="C62" s="195"/>
      <c r="D62" s="196"/>
      <c r="E62" s="196"/>
      <c r="F62" s="196"/>
      <c r="G62" s="42"/>
      <c r="H62" s="42">
        <f>IFERROR(J62*K62,"")</f>
        <v>336.00000000000006</v>
      </c>
      <c r="I62" s="197"/>
      <c r="J62" s="198">
        <f>P$1</f>
        <v>1.1200000000000001</v>
      </c>
      <c r="K62" s="199">
        <f t="shared" si="18"/>
        <v>300</v>
      </c>
      <c r="L62" s="200" t="str">
        <f>IFERROR(VLOOKUP(C62,元件库!$B:$O,10,FALSE),"1.00")</f>
        <v>1.00</v>
      </c>
      <c r="M62" s="201">
        <v>300</v>
      </c>
      <c r="N62" s="205"/>
      <c r="O62" s="220"/>
      <c r="P62" s="217"/>
      <c r="Q62" s="217"/>
      <c r="R62" s="217"/>
      <c r="S62" s="217"/>
      <c r="T62" s="217"/>
    </row>
    <row r="63" spans="1:20" s="206" customFormat="1" ht="16.5" customHeight="1" x14ac:dyDescent="0.2">
      <c r="A63" s="38">
        <f>COUNTIF($J$1:J63,"!")</f>
        <v>3</v>
      </c>
      <c r="B63" s="219" t="s">
        <v>79</v>
      </c>
      <c r="C63" s="195"/>
      <c r="D63" s="196"/>
      <c r="E63" s="196"/>
      <c r="F63" s="196"/>
      <c r="G63" s="42"/>
      <c r="H63" s="42">
        <f>K63*L63</f>
        <v>1068.09024</v>
      </c>
      <c r="I63" s="197"/>
      <c r="J63" s="198"/>
      <c r="K63" s="199">
        <f>SUM(H60:H62)+I59</f>
        <v>17801.504000000001</v>
      </c>
      <c r="L63" s="275">
        <f>R$1</f>
        <v>0.06</v>
      </c>
      <c r="M63" s="201"/>
      <c r="N63" s="205"/>
      <c r="O63" s="220"/>
      <c r="P63" s="214"/>
      <c r="Q63" s="217"/>
      <c r="R63" s="217"/>
      <c r="S63" s="217"/>
      <c r="T63" s="217"/>
    </row>
    <row r="64" spans="1:20" ht="16.5" customHeight="1" x14ac:dyDescent="0.2">
      <c r="A64" s="38">
        <f>COUNTIF($J$1:J64,"!")</f>
        <v>3</v>
      </c>
      <c r="B64" s="219" t="s">
        <v>108</v>
      </c>
      <c r="C64" s="195"/>
      <c r="D64" s="196"/>
      <c r="E64" s="196"/>
      <c r="F64" s="196"/>
      <c r="G64" s="209"/>
      <c r="H64" s="42">
        <f>K64*L64</f>
        <v>0</v>
      </c>
      <c r="I64" s="197"/>
      <c r="J64" s="198"/>
      <c r="K64" s="199">
        <f>H63+K63</f>
        <v>18869.594240000002</v>
      </c>
      <c r="L64" s="275">
        <f>T$1</f>
        <v>0</v>
      </c>
      <c r="M64" s="201"/>
      <c r="N64" s="205"/>
      <c r="P64" s="218"/>
      <c r="Q64" s="218"/>
      <c r="R64" s="218"/>
      <c r="S64" s="218"/>
      <c r="T64" s="218"/>
    </row>
  </sheetData>
  <autoFilter ref="A1:N92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OFFSET(元件库!$B$1,MATCH(C2&amp;"*",元件库!$B:$B,0)-1,,COUNTIF(元件库!$B:$B,C2&amp;"*"))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5"/>
  <dimension ref="A1:T22"/>
  <sheetViews>
    <sheetView showZeros="0" workbookViewId="0">
      <pane ySplit="1" topLeftCell="A2" activePane="bottomLeft" state="frozen"/>
      <selection activeCell="C27" sqref="C27"/>
      <selection pane="bottomLeft" activeCell="D26" sqref="D26"/>
    </sheetView>
  </sheetViews>
  <sheetFormatPr defaultColWidth="7" defaultRowHeight="12" x14ac:dyDescent="0.2"/>
  <cols>
    <col min="1" max="1" width="3.625" style="189" customWidth="1"/>
    <col min="2" max="2" width="14.125" style="190" customWidth="1"/>
    <col min="3" max="3" width="21.625" style="191" customWidth="1"/>
    <col min="4" max="4" width="11.625" style="192" customWidth="1"/>
    <col min="5" max="6" width="4.125" style="192" customWidth="1"/>
    <col min="7" max="8" width="9.625" style="193" customWidth="1"/>
    <col min="9" max="9" width="14.625" style="194" customWidth="1"/>
    <col min="10" max="10" width="4.625" style="189" customWidth="1"/>
    <col min="11" max="11" width="8.125" style="193" customWidth="1"/>
    <col min="12" max="12" width="5.125" style="193" customWidth="1"/>
    <col min="13" max="13" width="8.125" style="193" customWidth="1"/>
    <col min="14" max="14" width="3.625" style="161" customWidth="1"/>
    <col min="15" max="15" width="4.625" style="161" customWidth="1"/>
    <col min="16" max="17" width="4.625" style="162" customWidth="1"/>
    <col min="18" max="23" width="4.625" style="157" customWidth="1"/>
    <col min="24" max="16384" width="7" style="157"/>
  </cols>
  <sheetData>
    <row r="1" spans="1:20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1.1200000000000001</v>
      </c>
      <c r="Q1" s="335" t="s">
        <v>2392</v>
      </c>
      <c r="R1" s="336">
        <v>0.06</v>
      </c>
      <c r="S1" s="336" t="s">
        <v>80</v>
      </c>
      <c r="T1" s="336">
        <v>0</v>
      </c>
    </row>
    <row r="2" spans="1:20" ht="16.5" customHeight="1" x14ac:dyDescent="0.15">
      <c r="A2" s="32">
        <f>COUNTIF($J$1:J2,"!")</f>
        <v>1</v>
      </c>
      <c r="B2" s="33" t="s">
        <v>2393</v>
      </c>
      <c r="C2" s="158" t="s">
        <v>2394</v>
      </c>
      <c r="D2" s="159"/>
      <c r="E2" s="34" t="s">
        <v>48</v>
      </c>
      <c r="F2" s="159">
        <v>1</v>
      </c>
      <c r="G2" s="36">
        <f>ROUND(SUMIF(A3:A22,A2,H3:H22),0)</f>
        <v>141182</v>
      </c>
      <c r="H2" s="160"/>
      <c r="I2" s="47"/>
      <c r="J2" s="48" t="s">
        <v>24</v>
      </c>
      <c r="K2" s="49"/>
      <c r="L2" s="50"/>
      <c r="M2" s="51"/>
      <c r="R2" s="162"/>
      <c r="S2" s="162"/>
      <c r="T2" s="162"/>
    </row>
    <row r="3" spans="1:20" s="173" customFormat="1" ht="16.5" customHeight="1" x14ac:dyDescent="0.2">
      <c r="A3" s="38">
        <f>COUNTIF($J$1:J3,"!")</f>
        <v>1</v>
      </c>
      <c r="B3" s="163" t="s">
        <v>2210</v>
      </c>
      <c r="C3" s="298" t="s">
        <v>1859</v>
      </c>
      <c r="D3" s="165" t="s">
        <v>2211</v>
      </c>
      <c r="E3" s="166" t="s">
        <v>23</v>
      </c>
      <c r="F3" s="166">
        <v>2</v>
      </c>
      <c r="G3" s="42" t="str">
        <f t="shared" ref="G3:G20" si="0">IF(M3="","",IFERROR(J3*K3,""))</f>
        <v/>
      </c>
      <c r="H3" s="42" t="str">
        <f t="shared" ref="H3:H20" si="1">IF(M3="","",IFERROR(F3*G3,""))</f>
        <v/>
      </c>
      <c r="J3" s="168">
        <f t="shared" ref="J3:J20" si="2">P$1</f>
        <v>1.1200000000000001</v>
      </c>
      <c r="K3" s="169">
        <f t="shared" ref="K3:K19" si="3">IFERROR(M3*L3,"")</f>
        <v>0</v>
      </c>
      <c r="L3" s="200" t="str">
        <f>IFERROR(VLOOKUP(C3,元件库!$B:$O,10,FALSE),"1.00")</f>
        <v>1.00</v>
      </c>
      <c r="M3" s="171"/>
      <c r="N3" s="205" t="str">
        <f t="shared" ref="N3:N19" ca="1" si="4">IF(AND(ISNUMBER(FIND("IF",_xlfn.FORMULATEXT(L3))),ISNUMBER(FIND("IF",_xlfn.FORMULATEXT(M3)))),"","值")</f>
        <v>值</v>
      </c>
      <c r="O3" s="157"/>
      <c r="P3" s="157"/>
      <c r="Q3" s="162"/>
      <c r="R3" s="162"/>
      <c r="S3" s="162"/>
      <c r="T3" s="162"/>
    </row>
    <row r="4" spans="1:20" s="173" customFormat="1" ht="16.5" customHeight="1" x14ac:dyDescent="0.2">
      <c r="A4" s="38">
        <f>COUNTIF($J$1:J4,"!")</f>
        <v>1</v>
      </c>
      <c r="B4" s="163" t="s">
        <v>1911</v>
      </c>
      <c r="C4" s="298" t="s">
        <v>1859</v>
      </c>
      <c r="D4" s="165" t="s">
        <v>2211</v>
      </c>
      <c r="E4" s="166" t="s">
        <v>23</v>
      </c>
      <c r="F4" s="166">
        <v>4</v>
      </c>
      <c r="G4" s="42" t="str">
        <f t="shared" si="0"/>
        <v/>
      </c>
      <c r="H4" s="42" t="str">
        <f t="shared" si="1"/>
        <v/>
      </c>
      <c r="J4" s="168">
        <f t="shared" si="2"/>
        <v>1.1200000000000001</v>
      </c>
      <c r="K4" s="169">
        <f t="shared" si="3"/>
        <v>0</v>
      </c>
      <c r="L4" s="200" t="str">
        <f>IFERROR(VLOOKUP(C4,元件库!$B:$O,10,FALSE),"1.00")</f>
        <v>1.00</v>
      </c>
      <c r="M4" s="171"/>
      <c r="N4" s="205" t="str">
        <f t="shared" ca="1" si="4"/>
        <v>值</v>
      </c>
      <c r="O4" s="157"/>
      <c r="P4" s="157"/>
      <c r="Q4" s="162"/>
      <c r="R4" s="162"/>
      <c r="S4" s="162"/>
      <c r="T4" s="162"/>
    </row>
    <row r="5" spans="1:20" s="173" customFormat="1" ht="16.5" customHeight="1" x14ac:dyDescent="0.2">
      <c r="A5" s="38">
        <f>COUNTIF($J$1:J5,"!")</f>
        <v>1</v>
      </c>
      <c r="B5" s="163" t="s">
        <v>2212</v>
      </c>
      <c r="C5" s="298" t="s">
        <v>1859</v>
      </c>
      <c r="D5" s="165" t="s">
        <v>2213</v>
      </c>
      <c r="E5" s="166" t="s">
        <v>23</v>
      </c>
      <c r="F5" s="166">
        <v>1</v>
      </c>
      <c r="G5" s="42" t="str">
        <f t="shared" si="0"/>
        <v/>
      </c>
      <c r="H5" s="42" t="str">
        <f t="shared" si="1"/>
        <v/>
      </c>
      <c r="J5" s="168">
        <f t="shared" si="2"/>
        <v>1.1200000000000001</v>
      </c>
      <c r="K5" s="169">
        <f t="shared" si="3"/>
        <v>0</v>
      </c>
      <c r="L5" s="200" t="str">
        <f>IFERROR(VLOOKUP(C5,元件库!$B:$O,10,FALSE),"1.00")</f>
        <v>1.00</v>
      </c>
      <c r="M5" s="171"/>
      <c r="N5" s="205" t="str">
        <f t="shared" ca="1" si="4"/>
        <v>值</v>
      </c>
      <c r="O5" s="157"/>
      <c r="P5" s="157"/>
      <c r="Q5" s="162"/>
      <c r="R5" s="162"/>
      <c r="S5" s="162"/>
      <c r="T5" s="162"/>
    </row>
    <row r="6" spans="1:20" s="173" customFormat="1" ht="16.5" customHeight="1" x14ac:dyDescent="0.2">
      <c r="A6" s="38">
        <f>COUNTIF($J$1:J6,"!")</f>
        <v>1</v>
      </c>
      <c r="B6" s="163" t="s">
        <v>1860</v>
      </c>
      <c r="C6" s="298"/>
      <c r="D6" s="165"/>
      <c r="E6" s="166" t="s">
        <v>134</v>
      </c>
      <c r="F6" s="166">
        <v>6</v>
      </c>
      <c r="G6" s="42" t="str">
        <f t="shared" si="0"/>
        <v/>
      </c>
      <c r="H6" s="42" t="str">
        <f t="shared" si="1"/>
        <v/>
      </c>
      <c r="J6" s="168">
        <f t="shared" si="2"/>
        <v>1.1200000000000001</v>
      </c>
      <c r="K6" s="169">
        <f t="shared" si="3"/>
        <v>0</v>
      </c>
      <c r="L6" s="200" t="str">
        <f>IFERROR(VLOOKUP(C6,元件库!$B:$O,10,FALSE),"1.00")</f>
        <v>1.00</v>
      </c>
      <c r="M6" s="171"/>
      <c r="N6" s="205" t="str">
        <f t="shared" ca="1" si="4"/>
        <v>值</v>
      </c>
      <c r="O6" s="157"/>
      <c r="P6" s="157"/>
      <c r="Q6" s="162"/>
      <c r="R6" s="162"/>
      <c r="S6" s="162"/>
      <c r="T6" s="162"/>
    </row>
    <row r="7" spans="1:20" s="173" customFormat="1" ht="16.5" customHeight="1" x14ac:dyDescent="0.2">
      <c r="A7" s="38">
        <f>COUNTIF($J$1:J7,"!")</f>
        <v>1</v>
      </c>
      <c r="B7" s="163" t="s">
        <v>2214</v>
      </c>
      <c r="C7" s="298"/>
      <c r="D7" s="165"/>
      <c r="E7" s="166" t="s">
        <v>134</v>
      </c>
      <c r="F7" s="166">
        <v>6</v>
      </c>
      <c r="G7" s="42" t="str">
        <f t="shared" si="0"/>
        <v/>
      </c>
      <c r="H7" s="42" t="str">
        <f t="shared" si="1"/>
        <v/>
      </c>
      <c r="J7" s="168">
        <f t="shared" si="2"/>
        <v>1.1200000000000001</v>
      </c>
      <c r="K7" s="169">
        <f t="shared" si="3"/>
        <v>0</v>
      </c>
      <c r="L7" s="200" t="str">
        <f>IFERROR(VLOOKUP(C7,元件库!$B:$O,10,FALSE),"1.00")</f>
        <v>1.00</v>
      </c>
      <c r="M7" s="171"/>
      <c r="N7" s="205" t="str">
        <f t="shared" ca="1" si="4"/>
        <v>值</v>
      </c>
      <c r="O7" s="157"/>
      <c r="P7" s="157"/>
      <c r="Q7" s="162"/>
      <c r="R7" s="162"/>
      <c r="S7" s="162"/>
      <c r="T7" s="162"/>
    </row>
    <row r="8" spans="1:20" s="173" customFormat="1" ht="16.5" customHeight="1" x14ac:dyDescent="0.2">
      <c r="A8" s="38">
        <f>COUNTIF($J$1:J8,"!")</f>
        <v>1</v>
      </c>
      <c r="B8" s="163" t="s">
        <v>61</v>
      </c>
      <c r="C8" s="298" t="s">
        <v>2215</v>
      </c>
      <c r="D8" s="165"/>
      <c r="E8" s="166" t="s">
        <v>29</v>
      </c>
      <c r="F8" s="166">
        <v>2</v>
      </c>
      <c r="G8" s="42" t="str">
        <f t="shared" si="0"/>
        <v/>
      </c>
      <c r="H8" s="42" t="str">
        <f t="shared" si="1"/>
        <v/>
      </c>
      <c r="J8" s="168">
        <f t="shared" si="2"/>
        <v>1.1200000000000001</v>
      </c>
      <c r="K8" s="169">
        <f t="shared" si="3"/>
        <v>0</v>
      </c>
      <c r="L8" s="200" t="str">
        <f>IFERROR(VLOOKUP(C8,元件库!$B:$O,10,FALSE),"1.00")</f>
        <v>1.00</v>
      </c>
      <c r="M8" s="171"/>
      <c r="N8" s="205" t="str">
        <f t="shared" ca="1" si="4"/>
        <v>值</v>
      </c>
      <c r="O8" s="157"/>
      <c r="P8" s="157"/>
      <c r="Q8" s="162"/>
      <c r="R8" s="162"/>
      <c r="S8" s="162"/>
      <c r="T8" s="162"/>
    </row>
    <row r="9" spans="1:20" s="173" customFormat="1" ht="16.5" customHeight="1" x14ac:dyDescent="0.2">
      <c r="A9" s="38">
        <f>COUNTIF($J$1:J9,"!")</f>
        <v>1</v>
      </c>
      <c r="B9" s="163" t="s">
        <v>61</v>
      </c>
      <c r="C9" s="298" t="s">
        <v>2215</v>
      </c>
      <c r="D9" s="165"/>
      <c r="E9" s="166" t="s">
        <v>29</v>
      </c>
      <c r="F9" s="166">
        <v>4</v>
      </c>
      <c r="G9" s="42" t="str">
        <f t="shared" si="0"/>
        <v/>
      </c>
      <c r="H9" s="42" t="str">
        <f t="shared" si="1"/>
        <v/>
      </c>
      <c r="J9" s="168">
        <f t="shared" si="2"/>
        <v>1.1200000000000001</v>
      </c>
      <c r="K9" s="169">
        <f t="shared" si="3"/>
        <v>0</v>
      </c>
      <c r="L9" s="200" t="str">
        <f>IFERROR(VLOOKUP(C9,元件库!$B:$O,10,FALSE),"1.00")</f>
        <v>1.00</v>
      </c>
      <c r="M9" s="171"/>
      <c r="N9" s="205" t="str">
        <f t="shared" ca="1" si="4"/>
        <v>值</v>
      </c>
      <c r="O9" s="157"/>
      <c r="P9" s="157"/>
      <c r="Q9" s="162"/>
      <c r="R9" s="162"/>
      <c r="S9" s="162"/>
      <c r="T9" s="162"/>
    </row>
    <row r="10" spans="1:20" s="173" customFormat="1" ht="16.5" customHeight="1" x14ac:dyDescent="0.2">
      <c r="A10" s="38">
        <f>COUNTIF($J$1:J10,"!")</f>
        <v>1</v>
      </c>
      <c r="B10" s="163" t="s">
        <v>111</v>
      </c>
      <c r="C10" s="298" t="s">
        <v>2216</v>
      </c>
      <c r="D10" s="165" t="s">
        <v>2217</v>
      </c>
      <c r="E10" s="166" t="s">
        <v>29</v>
      </c>
      <c r="F10" s="166">
        <v>1</v>
      </c>
      <c r="G10" s="42" t="str">
        <f t="shared" si="0"/>
        <v/>
      </c>
      <c r="H10" s="42" t="str">
        <f t="shared" si="1"/>
        <v/>
      </c>
      <c r="J10" s="168">
        <f t="shared" si="2"/>
        <v>1.1200000000000001</v>
      </c>
      <c r="K10" s="169">
        <f t="shared" si="3"/>
        <v>0</v>
      </c>
      <c r="L10" s="200" t="str">
        <f>IFERROR(VLOOKUP(C10,元件库!$B:$O,10,FALSE),"1.00")</f>
        <v>1.00</v>
      </c>
      <c r="M10" s="171"/>
      <c r="N10" s="205" t="str">
        <f t="shared" ca="1" si="4"/>
        <v>值</v>
      </c>
      <c r="O10" s="157"/>
      <c r="P10" s="157"/>
      <c r="Q10" s="162"/>
      <c r="R10" s="162"/>
      <c r="S10" s="162"/>
      <c r="T10" s="162"/>
    </row>
    <row r="11" spans="1:20" s="173" customFormat="1" ht="16.5" customHeight="1" x14ac:dyDescent="0.2">
      <c r="A11" s="38">
        <f>COUNTIF($J$1:J11,"!")</f>
        <v>1</v>
      </c>
      <c r="B11" s="163" t="s">
        <v>905</v>
      </c>
      <c r="C11" s="298"/>
      <c r="D11" s="165"/>
      <c r="E11" s="166" t="s">
        <v>29</v>
      </c>
      <c r="F11" s="166">
        <v>7</v>
      </c>
      <c r="G11" s="42" t="str">
        <f t="shared" si="0"/>
        <v/>
      </c>
      <c r="H11" s="42" t="str">
        <f t="shared" si="1"/>
        <v/>
      </c>
      <c r="J11" s="168">
        <f t="shared" si="2"/>
        <v>1.1200000000000001</v>
      </c>
      <c r="K11" s="169">
        <f t="shared" si="3"/>
        <v>0</v>
      </c>
      <c r="L11" s="200" t="str">
        <f>IFERROR(VLOOKUP(C11,元件库!$B:$O,10,FALSE),"1.00")</f>
        <v>1.00</v>
      </c>
      <c r="M11" s="171"/>
      <c r="N11" s="205" t="str">
        <f t="shared" ca="1" si="4"/>
        <v>值</v>
      </c>
      <c r="O11" s="157"/>
      <c r="P11" s="157"/>
      <c r="Q11" s="162"/>
      <c r="R11" s="162"/>
      <c r="S11" s="162"/>
      <c r="T11" s="162"/>
    </row>
    <row r="12" spans="1:20" s="173" customFormat="1" ht="16.5" customHeight="1" x14ac:dyDescent="0.2">
      <c r="A12" s="38">
        <f>COUNTIF($J$1:J12,"!")</f>
        <v>1</v>
      </c>
      <c r="B12" s="163" t="s">
        <v>1912</v>
      </c>
      <c r="C12" s="298" t="s">
        <v>1913</v>
      </c>
      <c r="D12" s="165"/>
      <c r="E12" s="166" t="s">
        <v>29</v>
      </c>
      <c r="F12" s="166">
        <v>4</v>
      </c>
      <c r="G12" s="42" t="str">
        <f t="shared" si="0"/>
        <v/>
      </c>
      <c r="H12" s="42" t="str">
        <f t="shared" si="1"/>
        <v/>
      </c>
      <c r="J12" s="168">
        <f t="shared" si="2"/>
        <v>1.1200000000000001</v>
      </c>
      <c r="K12" s="169">
        <f t="shared" si="3"/>
        <v>0</v>
      </c>
      <c r="L12" s="200" t="str">
        <f>IFERROR(VLOOKUP(C12,元件库!$B:$O,10,FALSE),"1.00")</f>
        <v>1.00</v>
      </c>
      <c r="M12" s="171"/>
      <c r="N12" s="205" t="str">
        <f t="shared" ca="1" si="4"/>
        <v>值</v>
      </c>
      <c r="O12" s="157"/>
      <c r="P12" s="157"/>
      <c r="Q12" s="162"/>
      <c r="R12" s="162"/>
      <c r="S12" s="162"/>
      <c r="T12" s="162"/>
    </row>
    <row r="13" spans="1:20" s="173" customFormat="1" ht="16.5" customHeight="1" x14ac:dyDescent="0.2">
      <c r="A13" s="38">
        <f>COUNTIF($J$1:J13,"!")</f>
        <v>1</v>
      </c>
      <c r="B13" s="163" t="s">
        <v>1861</v>
      </c>
      <c r="C13" s="298"/>
      <c r="D13" s="165"/>
      <c r="E13" s="166" t="s">
        <v>134</v>
      </c>
      <c r="F13" s="166">
        <v>7</v>
      </c>
      <c r="G13" s="42" t="str">
        <f t="shared" si="0"/>
        <v/>
      </c>
      <c r="H13" s="42" t="str">
        <f t="shared" si="1"/>
        <v/>
      </c>
      <c r="J13" s="168">
        <f t="shared" si="2"/>
        <v>1.1200000000000001</v>
      </c>
      <c r="K13" s="169">
        <f t="shared" si="3"/>
        <v>0</v>
      </c>
      <c r="L13" s="200" t="str">
        <f>IFERROR(VLOOKUP(C13,元件库!$B:$O,10,FALSE),"1.00")</f>
        <v>1.00</v>
      </c>
      <c r="M13" s="171"/>
      <c r="N13" s="205" t="str">
        <f t="shared" ca="1" si="4"/>
        <v>值</v>
      </c>
      <c r="O13" s="157"/>
      <c r="P13" s="157"/>
      <c r="Q13" s="162"/>
      <c r="R13" s="162"/>
      <c r="S13" s="162"/>
      <c r="T13" s="162"/>
    </row>
    <row r="14" spans="1:20" s="173" customFormat="1" ht="16.5" customHeight="1" x14ac:dyDescent="0.2">
      <c r="A14" s="38">
        <f>COUNTIF($J$1:J14,"!")</f>
        <v>1</v>
      </c>
      <c r="B14" s="163" t="s">
        <v>160</v>
      </c>
      <c r="C14" s="298" t="s">
        <v>161</v>
      </c>
      <c r="D14" s="165"/>
      <c r="E14" s="166" t="s">
        <v>134</v>
      </c>
      <c r="F14" s="166">
        <v>6</v>
      </c>
      <c r="G14" s="42" t="str">
        <f t="shared" si="0"/>
        <v/>
      </c>
      <c r="H14" s="42" t="str">
        <f t="shared" si="1"/>
        <v/>
      </c>
      <c r="J14" s="168">
        <f t="shared" si="2"/>
        <v>1.1200000000000001</v>
      </c>
      <c r="K14" s="169">
        <f t="shared" si="3"/>
        <v>0</v>
      </c>
      <c r="L14" s="200" t="str">
        <f>IFERROR(VLOOKUP(C14,元件库!$B:$O,10,FALSE),"1.00")</f>
        <v>1.00</v>
      </c>
      <c r="M14" s="171"/>
      <c r="N14" s="205" t="str">
        <f t="shared" ca="1" si="4"/>
        <v>值</v>
      </c>
      <c r="O14" s="157"/>
      <c r="P14" s="157"/>
      <c r="Q14" s="162"/>
      <c r="R14" s="162"/>
      <c r="S14" s="162"/>
      <c r="T14" s="162"/>
    </row>
    <row r="15" spans="1:20" s="173" customFormat="1" ht="16.5" customHeight="1" x14ac:dyDescent="0.2">
      <c r="A15" s="38">
        <f>COUNTIF($J$1:J15,"!")</f>
        <v>1</v>
      </c>
      <c r="B15" s="163" t="s">
        <v>2218</v>
      </c>
      <c r="C15" s="298" t="s">
        <v>2219</v>
      </c>
      <c r="D15" s="165"/>
      <c r="E15" s="166" t="s">
        <v>29</v>
      </c>
      <c r="F15" s="166">
        <v>2</v>
      </c>
      <c r="G15" s="42" t="str">
        <f t="shared" si="0"/>
        <v/>
      </c>
      <c r="H15" s="42" t="str">
        <f t="shared" si="1"/>
        <v/>
      </c>
      <c r="J15" s="168">
        <f t="shared" si="2"/>
        <v>1.1200000000000001</v>
      </c>
      <c r="K15" s="169">
        <f t="shared" si="3"/>
        <v>0</v>
      </c>
      <c r="L15" s="200" t="str">
        <f>IFERROR(VLOOKUP(C15,元件库!$B:$O,10,FALSE),"1.00")</f>
        <v>1.00</v>
      </c>
      <c r="M15" s="171"/>
      <c r="N15" s="205" t="str">
        <f t="shared" ca="1" si="4"/>
        <v>值</v>
      </c>
      <c r="O15" s="157"/>
      <c r="P15" s="157"/>
      <c r="Q15" s="162"/>
      <c r="R15" s="162"/>
      <c r="S15" s="162"/>
      <c r="T15" s="162"/>
    </row>
    <row r="16" spans="1:20" s="173" customFormat="1" ht="16.5" customHeight="1" x14ac:dyDescent="0.2">
      <c r="A16" s="38">
        <f>COUNTIF($J$1:J16,"!")</f>
        <v>1</v>
      </c>
      <c r="B16" s="163" t="s">
        <v>1914</v>
      </c>
      <c r="C16" s="298"/>
      <c r="D16" s="165"/>
      <c r="E16" s="166" t="s">
        <v>23</v>
      </c>
      <c r="F16" s="166">
        <v>7</v>
      </c>
      <c r="G16" s="42" t="str">
        <f t="shared" si="0"/>
        <v/>
      </c>
      <c r="H16" s="42" t="str">
        <f t="shared" si="1"/>
        <v/>
      </c>
      <c r="J16" s="168">
        <f t="shared" si="2"/>
        <v>1.1200000000000001</v>
      </c>
      <c r="K16" s="169">
        <f t="shared" si="3"/>
        <v>0</v>
      </c>
      <c r="L16" s="200" t="str">
        <f>IFERROR(VLOOKUP(C16,元件库!$B:$O,10,FALSE),"1.00")</f>
        <v>1.00</v>
      </c>
      <c r="M16" s="171"/>
      <c r="N16" s="205" t="str">
        <f t="shared" ca="1" si="4"/>
        <v>值</v>
      </c>
      <c r="O16" s="157"/>
      <c r="P16" s="157"/>
      <c r="Q16" s="162"/>
      <c r="R16" s="162"/>
      <c r="S16" s="162"/>
      <c r="T16" s="162"/>
    </row>
    <row r="17" spans="1:20" s="173" customFormat="1" ht="16.5" customHeight="1" x14ac:dyDescent="0.2">
      <c r="A17" s="38">
        <f>COUNTIF($J$1:J17,"!")</f>
        <v>1</v>
      </c>
      <c r="B17" s="163" t="s">
        <v>2220</v>
      </c>
      <c r="C17" s="298"/>
      <c r="D17" s="165"/>
      <c r="E17" s="166" t="s">
        <v>134</v>
      </c>
      <c r="F17" s="166">
        <v>1</v>
      </c>
      <c r="G17" s="42" t="str">
        <f t="shared" si="0"/>
        <v/>
      </c>
      <c r="H17" s="42" t="str">
        <f t="shared" si="1"/>
        <v/>
      </c>
      <c r="J17" s="168">
        <f t="shared" si="2"/>
        <v>1.1200000000000001</v>
      </c>
      <c r="K17" s="169">
        <f t="shared" si="3"/>
        <v>0</v>
      </c>
      <c r="L17" s="200" t="str">
        <f>IFERROR(VLOOKUP(C17,元件库!$B:$O,10,FALSE),"1.00")</f>
        <v>1.00</v>
      </c>
      <c r="M17" s="171"/>
      <c r="N17" s="205" t="str">
        <f t="shared" ca="1" si="4"/>
        <v>值</v>
      </c>
      <c r="O17" s="157"/>
      <c r="P17" s="157"/>
      <c r="Q17" s="162"/>
      <c r="R17" s="162"/>
      <c r="S17" s="162"/>
      <c r="T17" s="162"/>
    </row>
    <row r="18" spans="1:20" s="173" customFormat="1" ht="16.5" customHeight="1" x14ac:dyDescent="0.2">
      <c r="A18" s="38">
        <f>COUNTIF($J$1:J18,"!")</f>
        <v>1</v>
      </c>
      <c r="B18" s="163" t="s">
        <v>837</v>
      </c>
      <c r="C18" s="298" t="s">
        <v>2221</v>
      </c>
      <c r="D18" s="165" t="s">
        <v>2222</v>
      </c>
      <c r="E18" s="166" t="s">
        <v>23</v>
      </c>
      <c r="F18" s="166">
        <v>1</v>
      </c>
      <c r="G18" s="42" t="str">
        <f t="shared" si="0"/>
        <v/>
      </c>
      <c r="H18" s="42" t="str">
        <f t="shared" si="1"/>
        <v/>
      </c>
      <c r="J18" s="168">
        <f t="shared" si="2"/>
        <v>1.1200000000000001</v>
      </c>
      <c r="K18" s="169">
        <f t="shared" si="3"/>
        <v>0</v>
      </c>
      <c r="L18" s="200" t="str">
        <f>IFERROR(VLOOKUP(C18,元件库!$B:$O,10,FALSE),"1.00")</f>
        <v>1.00</v>
      </c>
      <c r="M18" s="171"/>
      <c r="N18" s="205" t="str">
        <f t="shared" ca="1" si="4"/>
        <v>值</v>
      </c>
      <c r="O18" s="157"/>
      <c r="P18" s="157"/>
      <c r="Q18" s="162"/>
      <c r="R18" s="162"/>
      <c r="S18" s="162"/>
      <c r="T18" s="162"/>
    </row>
    <row r="19" spans="1:20" s="173" customFormat="1" ht="16.5" customHeight="1" x14ac:dyDescent="0.2">
      <c r="A19" s="38">
        <f>COUNTIF($J$1:J19,"!")</f>
        <v>1</v>
      </c>
      <c r="B19" s="163" t="s">
        <v>1915</v>
      </c>
      <c r="C19" s="298" t="s">
        <v>1862</v>
      </c>
      <c r="D19" s="165" t="s">
        <v>2223</v>
      </c>
      <c r="E19" s="166" t="s">
        <v>23</v>
      </c>
      <c r="F19" s="166">
        <v>1</v>
      </c>
      <c r="G19" s="42" t="str">
        <f t="shared" si="0"/>
        <v/>
      </c>
      <c r="H19" s="42" t="str">
        <f t="shared" si="1"/>
        <v/>
      </c>
      <c r="J19" s="168">
        <f t="shared" si="2"/>
        <v>1.1200000000000001</v>
      </c>
      <c r="K19" s="169">
        <f t="shared" si="3"/>
        <v>0</v>
      </c>
      <c r="L19" s="200" t="str">
        <f>IFERROR(VLOOKUP(C19,元件库!$B:$O,10,FALSE),"1.00")</f>
        <v>1.00</v>
      </c>
      <c r="M19" s="171"/>
      <c r="N19" s="205" t="str">
        <f t="shared" ca="1" si="4"/>
        <v>值</v>
      </c>
      <c r="O19" s="157"/>
      <c r="P19" s="157"/>
      <c r="Q19" s="162"/>
      <c r="R19" s="162"/>
      <c r="S19" s="162"/>
      <c r="T19" s="162"/>
    </row>
    <row r="20" spans="1:20" ht="16.5" customHeight="1" x14ac:dyDescent="0.2">
      <c r="A20" s="38">
        <f>COUNTIF($J$1:J20,"!")</f>
        <v>1</v>
      </c>
      <c r="B20" s="177" t="s">
        <v>107</v>
      </c>
      <c r="C20" s="164"/>
      <c r="D20" s="166"/>
      <c r="E20" s="166"/>
      <c r="F20" s="166">
        <v>1</v>
      </c>
      <c r="G20" s="42">
        <f t="shared" si="0"/>
        <v>133190.40000000002</v>
      </c>
      <c r="H20" s="42">
        <f t="shared" si="1"/>
        <v>133190.40000000002</v>
      </c>
      <c r="I20" s="173"/>
      <c r="J20" s="168">
        <f t="shared" si="2"/>
        <v>1.1200000000000001</v>
      </c>
      <c r="K20" s="169">
        <f>IFERROR(M20*L20,"")</f>
        <v>118920</v>
      </c>
      <c r="L20" s="200" t="str">
        <f>IFERROR(VLOOKUP(C20,元件库!$B:$O,10,FALSE),"1.00")</f>
        <v>1.00</v>
      </c>
      <c r="M20" s="171">
        <v>118920</v>
      </c>
      <c r="O20" s="157"/>
      <c r="P20" s="175"/>
      <c r="Q20" s="175"/>
      <c r="R20" s="175"/>
      <c r="S20" s="175"/>
      <c r="T20" s="175"/>
    </row>
    <row r="21" spans="1:20" s="161" customFormat="1" ht="16.5" customHeight="1" x14ac:dyDescent="0.2">
      <c r="A21" s="38">
        <f>COUNTIF($J$1:J21,"!")</f>
        <v>1</v>
      </c>
      <c r="B21" s="179" t="s">
        <v>79</v>
      </c>
      <c r="C21" s="164"/>
      <c r="D21" s="166"/>
      <c r="E21" s="166"/>
      <c r="F21" s="166"/>
      <c r="G21" s="42"/>
      <c r="H21" s="42">
        <f>K21*L21</f>
        <v>7991.4240000000009</v>
      </c>
      <c r="I21" s="167"/>
      <c r="J21" s="168"/>
      <c r="K21" s="169">
        <f>SUMIF(A$2:A20,A21,H$2:H20)</f>
        <v>133190.40000000002</v>
      </c>
      <c r="L21" s="279">
        <f>R$1</f>
        <v>0.06</v>
      </c>
      <c r="M21" s="171"/>
      <c r="N21" s="181"/>
      <c r="O21" s="157"/>
      <c r="P21" s="175"/>
      <c r="Q21" s="175"/>
      <c r="R21" s="175"/>
      <c r="S21" s="175"/>
      <c r="T21" s="175"/>
    </row>
    <row r="22" spans="1:20" ht="16.5" customHeight="1" x14ac:dyDescent="0.2">
      <c r="A22" s="38">
        <f>COUNTIF($J$1:J22,"!")</f>
        <v>1</v>
      </c>
      <c r="B22" s="179" t="s">
        <v>108</v>
      </c>
      <c r="C22" s="164"/>
      <c r="D22" s="166"/>
      <c r="E22" s="166"/>
      <c r="F22" s="166"/>
      <c r="G22" s="184"/>
      <c r="H22" s="42">
        <f>K22*L22</f>
        <v>0</v>
      </c>
      <c r="I22" s="167"/>
      <c r="J22" s="168"/>
      <c r="K22" s="169">
        <f>SUMIF(A$2:A21,A22,H$2:H21)</f>
        <v>141181.82400000002</v>
      </c>
      <c r="L22" s="279">
        <f>T$1</f>
        <v>0</v>
      </c>
      <c r="M22" s="171"/>
      <c r="O22" s="157"/>
      <c r="P22" s="175"/>
      <c r="Q22" s="175"/>
      <c r="R22" s="175"/>
      <c r="S22" s="175"/>
      <c r="T22" s="175"/>
    </row>
  </sheetData>
  <autoFilter ref="A1:M19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OFFSET(元件库!$B$1,MATCH(C2&amp;"*",元件库!$B:$B,0)-1,,COUNTIF(元件库!$B:$B,C2&amp;"*"))</xm:f>
          </x14:formula1>
          <xm:sqref>C2:C22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6">
    <outlinePr summaryBelow="0" summaryRight="0"/>
  </sheetPr>
  <dimension ref="A1:W895"/>
  <sheetViews>
    <sheetView showZeros="0" workbookViewId="0">
      <pane ySplit="1" topLeftCell="A5" activePane="bottomLeft" state="frozen"/>
      <selection activeCell="C27" sqref="C27"/>
      <selection pane="bottomLeft" activeCell="E22" sqref="E22"/>
    </sheetView>
  </sheetViews>
  <sheetFormatPr defaultColWidth="7" defaultRowHeight="12" x14ac:dyDescent="0.2"/>
  <cols>
    <col min="1" max="1" width="3.625" style="189" customWidth="1"/>
    <col min="2" max="2" width="14.125" style="190" customWidth="1"/>
    <col min="3" max="3" width="21.625" style="191" customWidth="1"/>
    <col min="4" max="4" width="11.625" style="192" customWidth="1"/>
    <col min="5" max="6" width="4.125" style="192" customWidth="1"/>
    <col min="7" max="8" width="9.625" style="193" customWidth="1"/>
    <col min="9" max="9" width="14.625" style="194" customWidth="1"/>
    <col min="10" max="10" width="4.625" style="189" customWidth="1"/>
    <col min="11" max="11" width="8.125" style="193" customWidth="1"/>
    <col min="12" max="12" width="5.125" style="193" customWidth="1"/>
    <col min="13" max="13" width="8.125" style="193" customWidth="1"/>
    <col min="14" max="14" width="3.625" style="161" customWidth="1"/>
    <col min="15" max="15" width="4.625" style="301" customWidth="1"/>
    <col min="16" max="16" width="4.625" style="161" customWidth="1"/>
    <col min="17" max="19" width="4.625" style="162" customWidth="1"/>
    <col min="20" max="23" width="4.625" style="157" customWidth="1"/>
    <col min="24" max="16384" width="7" style="157"/>
  </cols>
  <sheetData>
    <row r="1" spans="1:23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</v>
      </c>
      <c r="Q1" s="335" t="s">
        <v>2342</v>
      </c>
      <c r="R1" s="336">
        <v>0.12</v>
      </c>
      <c r="S1" s="336" t="s">
        <v>80</v>
      </c>
      <c r="T1" s="336">
        <v>0.03</v>
      </c>
    </row>
    <row r="2" spans="1:23" s="162" customFormat="1" ht="16.5" customHeight="1" x14ac:dyDescent="0.15">
      <c r="A2" s="32">
        <f>COUNTIF($J$1:J2,"!")</f>
        <v>1</v>
      </c>
      <c r="B2" s="33" t="s">
        <v>1895</v>
      </c>
      <c r="C2" s="296" t="s">
        <v>3119</v>
      </c>
      <c r="D2" s="159" t="s">
        <v>1931</v>
      </c>
      <c r="E2" s="34" t="s">
        <v>23</v>
      </c>
      <c r="F2" s="159">
        <v>1</v>
      </c>
      <c r="G2" s="36">
        <f>ROUND(SUM(H3:H24),0)</f>
        <v>7552</v>
      </c>
      <c r="H2" s="160" t="str">
        <f>IF(ISNUMBER(FIND(" ",C3)),MID(C3,1,FIND(" ",C3)-1),IF(ISNUMBER(FIND("电容柜",B2)),"GGJ",MID(C3,1,FIND("-",C3)-1)))</f>
        <v>HXGN</v>
      </c>
      <c r="I2" s="47" t="str">
        <f>MID(C3,IF(LEN(C3)-LEN(H2)&gt;3,LEN(H2)+2,1),30)</f>
        <v>500*900*2000</v>
      </c>
      <c r="J2" s="48" t="s">
        <v>24</v>
      </c>
      <c r="K2" s="49"/>
      <c r="L2" s="50"/>
      <c r="M2" s="51"/>
      <c r="N2" s="172"/>
      <c r="O2" s="161"/>
    </row>
    <row r="3" spans="1:23" s="162" customFormat="1" ht="16.5" customHeight="1" x14ac:dyDescent="0.2">
      <c r="A3" s="38">
        <f>COUNTIF($J$1:J3,"!")</f>
        <v>1</v>
      </c>
      <c r="B3" s="163" t="str">
        <f>IFERROR(VLOOKUP(C3,元件库!$B:$O,3,FALSE),"")</f>
        <v>壳体W*D*H</v>
      </c>
      <c r="C3" s="164" t="s">
        <v>3120</v>
      </c>
      <c r="D3" s="165" t="str">
        <f>IFERROR(VLOOKUP(C3,元件库!$B:$O,2,FALSE),"")</f>
        <v>精益联合集团</v>
      </c>
      <c r="E3" s="166" t="str">
        <f t="shared" ref="E3:E10" si="0">IF(D3="欣利铜材","米",IF(B3="氧化锌避雷器","组","只"))</f>
        <v>只</v>
      </c>
      <c r="F3" s="166">
        <v>1</v>
      </c>
      <c r="G3" s="42">
        <f t="shared" ref="G3:G10" si="1">IFERROR(J3*K3,"")</f>
        <v>1500</v>
      </c>
      <c r="H3" s="42">
        <f t="shared" ref="H3:H10" si="2">IFERROR(G3*F3,"")</f>
        <v>1500</v>
      </c>
      <c r="I3" s="167"/>
      <c r="J3" s="168">
        <f t="shared" ref="J3:J10" si="3">P$1</f>
        <v>1</v>
      </c>
      <c r="K3" s="169">
        <f t="shared" ref="K3:K10" si="4">IFERROR(M3*L3,"")</f>
        <v>1500</v>
      </c>
      <c r="L3" s="170">
        <f>IFERROR(VLOOKUP(C3,元件库!$B:$O,10,FALSE),"1.00")</f>
        <v>1</v>
      </c>
      <c r="M3" s="171">
        <f>IFERROR(VLOOKUP(C3,元件库!$B:$O,11,FALSE),"")</f>
        <v>1500</v>
      </c>
      <c r="N3" s="172" t="str">
        <f t="shared" ref="N3:N19" ca="1" si="5">IF(AND(ISNUMBER(FIND("IF",_xlfn.FORMULATEXT(L3))),ISNUMBER(FIND("IF",_xlfn.FORMULATEXT(M3)))),"","值")</f>
        <v/>
      </c>
      <c r="O3" s="157"/>
      <c r="P3" s="157"/>
    </row>
    <row r="4" spans="1:23" s="175" customFormat="1" ht="16.5" customHeight="1" x14ac:dyDescent="0.2">
      <c r="A4" s="38">
        <f>COUNTIF($J$1:J4,"!")</f>
        <v>1</v>
      </c>
      <c r="B4" s="163" t="str">
        <f>IFERROR(VLOOKUP(C4,元件库!$B:$O,3,FALSE),"")</f>
        <v>高压熔断器</v>
      </c>
      <c r="C4" s="164" t="s">
        <v>3041</v>
      </c>
      <c r="D4" s="165" t="str">
        <f>IFERROR(VLOOKUP(C4,元件库!$B:$O,2,FALSE),"")</f>
        <v>上海智广</v>
      </c>
      <c r="E4" s="166" t="str">
        <f t="shared" si="0"/>
        <v>只</v>
      </c>
      <c r="F4" s="166">
        <v>3</v>
      </c>
      <c r="G4" s="42">
        <f t="shared" si="1"/>
        <v>60</v>
      </c>
      <c r="H4" s="42">
        <f t="shared" si="2"/>
        <v>180</v>
      </c>
      <c r="I4" s="167"/>
      <c r="J4" s="168">
        <f t="shared" si="3"/>
        <v>1</v>
      </c>
      <c r="K4" s="169">
        <f t="shared" si="4"/>
        <v>60</v>
      </c>
      <c r="L4" s="170">
        <f>IFERROR(VLOOKUP(C4,元件库!$B:$O,10,FALSE),"1.00")</f>
        <v>1</v>
      </c>
      <c r="M4" s="171">
        <f>IFERROR(VLOOKUP(C4,元件库!$B:$O,11,FALSE),"")</f>
        <v>60</v>
      </c>
      <c r="N4" s="172" t="str">
        <f t="shared" ca="1" si="5"/>
        <v/>
      </c>
      <c r="O4" s="157"/>
      <c r="W4" s="162"/>
    </row>
    <row r="5" spans="1:23" s="175" customFormat="1" ht="16.5" customHeight="1" x14ac:dyDescent="0.2">
      <c r="A5" s="38">
        <f>COUNTIF($J$1:J5,"!")</f>
        <v>1</v>
      </c>
      <c r="B5" s="163" t="str">
        <f>IFERROR(VLOOKUP(C5,元件库!$B:$O,3,FALSE),"")</f>
        <v>电压互感器</v>
      </c>
      <c r="C5" s="164" t="s">
        <v>2135</v>
      </c>
      <c r="D5" s="165" t="str">
        <f>IFERROR(VLOOKUP(C5,元件库!$B:$O,2,FALSE),"")</f>
        <v>浙江泰成</v>
      </c>
      <c r="E5" s="166" t="str">
        <f t="shared" si="0"/>
        <v>只</v>
      </c>
      <c r="F5" s="166">
        <v>2</v>
      </c>
      <c r="G5" s="42">
        <f t="shared" si="1"/>
        <v>963</v>
      </c>
      <c r="H5" s="42">
        <f t="shared" si="2"/>
        <v>1926</v>
      </c>
      <c r="I5" s="167"/>
      <c r="J5" s="168">
        <f t="shared" si="3"/>
        <v>1</v>
      </c>
      <c r="K5" s="169">
        <f t="shared" si="4"/>
        <v>963</v>
      </c>
      <c r="L5" s="170">
        <f>IFERROR(VLOOKUP(C5,元件库!$B:$O,10,FALSE),"1.00")</f>
        <v>1</v>
      </c>
      <c r="M5" s="171">
        <f>IFERROR(VLOOKUP(C5,元件库!$B:$O,11,FALSE),"")</f>
        <v>963</v>
      </c>
      <c r="N5" s="172" t="str">
        <f t="shared" ca="1" si="5"/>
        <v/>
      </c>
      <c r="O5" s="157"/>
      <c r="W5" s="162"/>
    </row>
    <row r="6" spans="1:23" s="175" customFormat="1" ht="16.5" customHeight="1" x14ac:dyDescent="0.2">
      <c r="A6" s="38">
        <f>COUNTIF($J$1:J6,"!")</f>
        <v>1</v>
      </c>
      <c r="B6" s="163" t="str">
        <f>IFERROR(VLOOKUP(C6,元件库!$B:$O,3,FALSE),"")</f>
        <v>电流.电压表</v>
      </c>
      <c r="C6" s="164" t="s">
        <v>1899</v>
      </c>
      <c r="D6" s="165" t="str">
        <f>IFERROR(VLOOKUP(C6,元件库!$B:$O,2,FALSE),"")</f>
        <v>精益联合集团</v>
      </c>
      <c r="E6" s="166" t="str">
        <f t="shared" si="0"/>
        <v>只</v>
      </c>
      <c r="F6" s="166">
        <v>3</v>
      </c>
      <c r="G6" s="42">
        <f t="shared" si="1"/>
        <v>13.750000000000002</v>
      </c>
      <c r="H6" s="42">
        <f t="shared" si="2"/>
        <v>41.250000000000007</v>
      </c>
      <c r="I6" s="167"/>
      <c r="J6" s="168">
        <f t="shared" si="3"/>
        <v>1</v>
      </c>
      <c r="K6" s="169">
        <f t="shared" si="4"/>
        <v>13.750000000000002</v>
      </c>
      <c r="L6" s="170">
        <f>IFERROR(VLOOKUP(C6,元件库!$B:$O,10,FALSE),"1.00")</f>
        <v>0.55000000000000004</v>
      </c>
      <c r="M6" s="171">
        <f>IFERROR(VLOOKUP(C6,元件库!$B:$O,11,FALSE),"")</f>
        <v>25</v>
      </c>
      <c r="N6" s="172" t="str">
        <f t="shared" ca="1" si="5"/>
        <v/>
      </c>
      <c r="O6" s="157"/>
      <c r="W6" s="162"/>
    </row>
    <row r="7" spans="1:23" s="175" customFormat="1" ht="16.5" customHeight="1" x14ac:dyDescent="0.2">
      <c r="A7" s="38">
        <f>COUNTIF($J$1:J7,"!")</f>
        <v>1</v>
      </c>
      <c r="B7" s="163" t="str">
        <f>IFERROR(VLOOKUP(C7,元件库!$B:$O,3,FALSE),"")</f>
        <v>氧化锌避雷器</v>
      </c>
      <c r="C7" s="164" t="s">
        <v>1917</v>
      </c>
      <c r="D7" s="165" t="str">
        <f>IFERROR(VLOOKUP(C7,元件库!$B:$O,2,FALSE),"")</f>
        <v>雷恩电气</v>
      </c>
      <c r="E7" s="166" t="str">
        <f t="shared" si="0"/>
        <v>组</v>
      </c>
      <c r="F7" s="166">
        <v>1</v>
      </c>
      <c r="G7" s="42">
        <f t="shared" si="1"/>
        <v>200</v>
      </c>
      <c r="H7" s="42">
        <f t="shared" si="2"/>
        <v>200</v>
      </c>
      <c r="I7" s="167"/>
      <c r="J7" s="168">
        <f t="shared" si="3"/>
        <v>1</v>
      </c>
      <c r="K7" s="169">
        <f t="shared" si="4"/>
        <v>200</v>
      </c>
      <c r="L7" s="170">
        <f>IFERROR(VLOOKUP(C7,元件库!$B:$O,10,FALSE),"1.00")</f>
        <v>1</v>
      </c>
      <c r="M7" s="171">
        <f>IFERROR(VLOOKUP(C7,元件库!$B:$O,11,FALSE),"")</f>
        <v>200</v>
      </c>
      <c r="N7" s="172" t="str">
        <f t="shared" ca="1" si="5"/>
        <v/>
      </c>
      <c r="O7" s="157"/>
      <c r="W7" s="162"/>
    </row>
    <row r="8" spans="1:23" s="175" customFormat="1" ht="16.5" customHeight="1" x14ac:dyDescent="0.2">
      <c r="A8" s="38">
        <f>COUNTIF($J$1:J8,"!")</f>
        <v>1</v>
      </c>
      <c r="B8" s="163" t="str">
        <f>IFERROR(VLOOKUP(C8,元件库!$B:$O,3,FALSE),"")</f>
        <v>穿墙套管</v>
      </c>
      <c r="C8" s="164" t="s">
        <v>135</v>
      </c>
      <c r="D8" s="165" t="str">
        <f>IFERROR(VLOOKUP(C8,元件库!$B:$O,2,FALSE),"")</f>
        <v>福一开</v>
      </c>
      <c r="E8" s="166" t="str">
        <f t="shared" si="0"/>
        <v>只</v>
      </c>
      <c r="F8" s="166">
        <v>3</v>
      </c>
      <c r="G8" s="42">
        <f t="shared" si="1"/>
        <v>45</v>
      </c>
      <c r="H8" s="42">
        <f t="shared" si="2"/>
        <v>135</v>
      </c>
      <c r="I8" s="167"/>
      <c r="J8" s="168">
        <f t="shared" si="3"/>
        <v>1</v>
      </c>
      <c r="K8" s="169">
        <f t="shared" si="4"/>
        <v>45</v>
      </c>
      <c r="L8" s="170">
        <f>IFERROR(VLOOKUP(C8,元件库!$B:$O,10,FALSE),"1.00")</f>
        <v>1</v>
      </c>
      <c r="M8" s="171">
        <f>IFERROR(VLOOKUP(C8,元件库!$B:$O,11,FALSE),"")</f>
        <v>45</v>
      </c>
      <c r="N8" s="172" t="str">
        <f t="shared" ca="1" si="5"/>
        <v/>
      </c>
      <c r="O8" s="157"/>
      <c r="W8" s="162"/>
    </row>
    <row r="9" spans="1:23" s="175" customFormat="1" ht="16.5" customHeight="1" x14ac:dyDescent="0.2">
      <c r="A9" s="38">
        <f>COUNTIF($J$1:J9,"!")</f>
        <v>1</v>
      </c>
      <c r="B9" s="163" t="str">
        <f>IFERROR(VLOOKUP(C9,元件库!$B:$O,3,FALSE),"")</f>
        <v>支柱绝缘子</v>
      </c>
      <c r="C9" s="164" t="s">
        <v>136</v>
      </c>
      <c r="D9" s="165" t="str">
        <f>IFERROR(VLOOKUP(C9,元件库!$B:$O,2,FALSE),"")</f>
        <v>福一开</v>
      </c>
      <c r="E9" s="166" t="str">
        <f t="shared" si="0"/>
        <v>只</v>
      </c>
      <c r="F9" s="166">
        <v>3</v>
      </c>
      <c r="G9" s="42">
        <f t="shared" si="1"/>
        <v>22</v>
      </c>
      <c r="H9" s="42">
        <f t="shared" si="2"/>
        <v>66</v>
      </c>
      <c r="I9" s="167"/>
      <c r="J9" s="168">
        <f t="shared" si="3"/>
        <v>1</v>
      </c>
      <c r="K9" s="169">
        <f t="shared" si="4"/>
        <v>22</v>
      </c>
      <c r="L9" s="170">
        <f>IFERROR(VLOOKUP(C9,元件库!$B:$O,10,FALSE),"1.00")</f>
        <v>1</v>
      </c>
      <c r="M9" s="171">
        <f>IFERROR(VLOOKUP(C9,元件库!$B:$O,11,FALSE),"")</f>
        <v>22</v>
      </c>
      <c r="N9" s="172" t="str">
        <f t="shared" ca="1" si="5"/>
        <v/>
      </c>
      <c r="O9" s="157"/>
      <c r="W9" s="162"/>
    </row>
    <row r="10" spans="1:23" s="175" customFormat="1" ht="16.5" customHeight="1" x14ac:dyDescent="0.2">
      <c r="A10" s="38">
        <f>COUNTIF($J$1:J10,"!")</f>
        <v>1</v>
      </c>
      <c r="B10" s="163" t="str">
        <f>IFERROR(VLOOKUP(C10,元件库!$B:$O,3,FALSE),"")</f>
        <v>电压传感器</v>
      </c>
      <c r="C10" s="164" t="s">
        <v>137</v>
      </c>
      <c r="D10" s="165" t="str">
        <f>IFERROR(VLOOKUP(C10,元件库!$B:$O,2,FALSE),"")</f>
        <v>福一开</v>
      </c>
      <c r="E10" s="166" t="str">
        <f t="shared" si="0"/>
        <v>只</v>
      </c>
      <c r="F10" s="166">
        <v>1</v>
      </c>
      <c r="G10" s="42">
        <f t="shared" si="1"/>
        <v>93</v>
      </c>
      <c r="H10" s="42">
        <f t="shared" si="2"/>
        <v>93</v>
      </c>
      <c r="I10" s="167"/>
      <c r="J10" s="168">
        <f t="shared" si="3"/>
        <v>1</v>
      </c>
      <c r="K10" s="169">
        <f t="shared" si="4"/>
        <v>93</v>
      </c>
      <c r="L10" s="170">
        <f>IFERROR(VLOOKUP(C10,元件库!$B:$O,10,FALSE),"1.00")</f>
        <v>1</v>
      </c>
      <c r="M10" s="171">
        <f>IFERROR(VLOOKUP(C10,元件库!$B:$O,11,FALSE),"")</f>
        <v>93</v>
      </c>
      <c r="N10" s="172" t="str">
        <f t="shared" ca="1" si="5"/>
        <v/>
      </c>
      <c r="O10" s="157"/>
      <c r="W10" s="162"/>
    </row>
    <row r="11" spans="1:23" s="175" customFormat="1" ht="16.5" customHeight="1" x14ac:dyDescent="0.2">
      <c r="A11" s="38">
        <f>COUNTIF($J$1:J11,"!")</f>
        <v>1</v>
      </c>
      <c r="B11" s="163" t="str">
        <f>IFERROR(VLOOKUP(C11,元件库!$B:$O,3,FALSE),"")</f>
        <v>带电显示器</v>
      </c>
      <c r="C11" s="164" t="s">
        <v>1897</v>
      </c>
      <c r="D11" s="165" t="str">
        <f>IFERROR(VLOOKUP(C11,元件库!$B:$O,2,FALSE),"")</f>
        <v>江山鑫源</v>
      </c>
      <c r="E11" s="166" t="str">
        <f>IF(D11="欣利铜材","米",IF(B11="氧化锌避雷器","组","只"))</f>
        <v>只</v>
      </c>
      <c r="F11" s="166">
        <v>1</v>
      </c>
      <c r="G11" s="42">
        <f>IFERROR(J11*K11,"")</f>
        <v>33</v>
      </c>
      <c r="H11" s="42">
        <f>IFERROR(G11*F11,"")</f>
        <v>33</v>
      </c>
      <c r="I11" s="167"/>
      <c r="J11" s="168">
        <f>P$1</f>
        <v>1</v>
      </c>
      <c r="K11" s="169">
        <f>IFERROR(M11*L11,"")</f>
        <v>33</v>
      </c>
      <c r="L11" s="170">
        <f>IFERROR(VLOOKUP(C11,元件库!$B:$O,10,FALSE),"1.00")</f>
        <v>1</v>
      </c>
      <c r="M11" s="171">
        <f>IFERROR(VLOOKUP(C11,元件库!$B:$O,11,FALSE),"")</f>
        <v>33</v>
      </c>
      <c r="N11" s="172" t="str">
        <f t="shared" ca="1" si="5"/>
        <v/>
      </c>
      <c r="O11" s="157"/>
      <c r="W11" s="162"/>
    </row>
    <row r="12" spans="1:23" s="175" customFormat="1" ht="16.5" customHeight="1" x14ac:dyDescent="0.2">
      <c r="A12" s="38">
        <f>COUNTIF($J$1:J12,"!")</f>
        <v>1</v>
      </c>
      <c r="B12" s="163" t="str">
        <f>IFERROR(VLOOKUP(C12,元件库!$B:$O,3,FALSE),"")</f>
        <v>电磁锁</v>
      </c>
      <c r="C12" s="164" t="s">
        <v>98</v>
      </c>
      <c r="D12" s="165" t="str">
        <f>IFERROR(VLOOKUP(C12,元件库!$B:$O,2,FALSE),"")</f>
        <v>哈陆拉</v>
      </c>
      <c r="E12" s="166" t="str">
        <f>IF(D12="欣利铜材","米",IF(B12="氧化锌避雷器","组","只"))</f>
        <v>只</v>
      </c>
      <c r="F12" s="166">
        <v>1</v>
      </c>
      <c r="G12" s="42">
        <f>IFERROR(J12*K12,"")</f>
        <v>55</v>
      </c>
      <c r="H12" s="42">
        <f>IFERROR(G12*F12,"")</f>
        <v>55</v>
      </c>
      <c r="I12" s="167"/>
      <c r="J12" s="168">
        <f t="shared" ref="J12:J19" si="6">P$1</f>
        <v>1</v>
      </c>
      <c r="K12" s="169">
        <f>IFERROR(M12*L12,"")</f>
        <v>55</v>
      </c>
      <c r="L12" s="170">
        <f>IFERROR(VLOOKUP(C12,元件库!$B:$O,10,FALSE),"1.00")</f>
        <v>1</v>
      </c>
      <c r="M12" s="171">
        <f>IFERROR(VLOOKUP(C12,元件库!$B:$O,11,FALSE),"")</f>
        <v>55</v>
      </c>
      <c r="N12" s="172" t="str">
        <f t="shared" ca="1" si="5"/>
        <v/>
      </c>
      <c r="O12" s="157"/>
      <c r="W12" s="162"/>
    </row>
    <row r="13" spans="1:23" s="175" customFormat="1" ht="16.5" customHeight="1" x14ac:dyDescent="0.2">
      <c r="A13" s="38">
        <f>COUNTIF($J$1:J13,"!")</f>
        <v>1</v>
      </c>
      <c r="B13" s="163" t="str">
        <f>IFERROR(VLOOKUP(C13,元件库!$B:$O,3,FALSE),"")</f>
        <v>温湿度控制器</v>
      </c>
      <c r="C13" s="164" t="s">
        <v>153</v>
      </c>
      <c r="D13" s="165" t="str">
        <f>IFERROR(VLOOKUP(C13,元件库!$B:$O,2,FALSE),"")</f>
        <v>实德电气</v>
      </c>
      <c r="E13" s="166" t="str">
        <f t="shared" ref="E13:E19" si="7">IF(D13="欣利铜材","米",IF(B13="氧化锌避雷器","组","只"))</f>
        <v>只</v>
      </c>
      <c r="F13" s="166">
        <v>1</v>
      </c>
      <c r="G13" s="42">
        <f t="shared" ref="G13:G19" si="8">IFERROR(J13*K13,"")</f>
        <v>110</v>
      </c>
      <c r="H13" s="42">
        <f t="shared" ref="H13:H19" si="9">IFERROR(G13*F13,"")</f>
        <v>110</v>
      </c>
      <c r="I13" s="167"/>
      <c r="J13" s="168">
        <f t="shared" si="6"/>
        <v>1</v>
      </c>
      <c r="K13" s="169">
        <f t="shared" ref="K13:K22" si="10">IFERROR(M13*L13,"")</f>
        <v>110</v>
      </c>
      <c r="L13" s="170">
        <f>IFERROR(VLOOKUP(C13,元件库!$B:$O,10,FALSE),"1.00")</f>
        <v>1</v>
      </c>
      <c r="M13" s="171">
        <f>IFERROR(VLOOKUP(C13,元件库!$B:$O,11,FALSE),"")</f>
        <v>110</v>
      </c>
      <c r="N13" s="172" t="str">
        <f t="shared" ca="1" si="5"/>
        <v/>
      </c>
      <c r="O13" s="157"/>
    </row>
    <row r="14" spans="1:23" s="175" customFormat="1" ht="16.5" customHeight="1" x14ac:dyDescent="0.2">
      <c r="A14" s="38">
        <f>COUNTIF($J$1:J14,"!")</f>
        <v>1</v>
      </c>
      <c r="B14" s="163" t="str">
        <f>IFERROR(VLOOKUP(C14,元件库!$B:$O,3,FALSE),"")</f>
        <v>加热器</v>
      </c>
      <c r="C14" s="164" t="s">
        <v>101</v>
      </c>
      <c r="D14" s="165" t="str">
        <f>IFERROR(VLOOKUP(C14,元件库!$B:$O,2,FALSE),"")</f>
        <v>实德电气</v>
      </c>
      <c r="E14" s="166" t="str">
        <f t="shared" si="7"/>
        <v>只</v>
      </c>
      <c r="F14" s="166">
        <v>2</v>
      </c>
      <c r="G14" s="42">
        <f t="shared" si="8"/>
        <v>18</v>
      </c>
      <c r="H14" s="42">
        <f t="shared" si="9"/>
        <v>36</v>
      </c>
      <c r="I14" s="167"/>
      <c r="J14" s="168">
        <f t="shared" si="6"/>
        <v>1</v>
      </c>
      <c r="K14" s="169">
        <f t="shared" si="10"/>
        <v>18</v>
      </c>
      <c r="L14" s="170">
        <f>IFERROR(VLOOKUP(C14,元件库!$B:$O,10,FALSE),"1.00")</f>
        <v>1</v>
      </c>
      <c r="M14" s="171">
        <f>IFERROR(VLOOKUP(C14,元件库!$B:$O,11,FALSE),"")</f>
        <v>18</v>
      </c>
      <c r="N14" s="172" t="str">
        <f t="shared" ca="1" si="5"/>
        <v/>
      </c>
      <c r="O14" s="157"/>
    </row>
    <row r="15" spans="1:23" s="175" customFormat="1" ht="16.5" customHeight="1" x14ac:dyDescent="0.2">
      <c r="A15" s="38">
        <f>COUNTIF($J$1:J15,"!")</f>
        <v>1</v>
      </c>
      <c r="B15" s="163" t="str">
        <f>IFERROR(VLOOKUP(C15,元件库!$B:$O,3,FALSE),"")</f>
        <v>高压热缩管</v>
      </c>
      <c r="C15" s="185" t="str">
        <f>"10KV"&amp;MID(C18,4,10)</f>
        <v>10KV-60*6</v>
      </c>
      <c r="D15" s="165" t="str">
        <f>IFERROR(VLOOKUP(C15,元件库!$B:$O,2,FALSE),"")</f>
        <v>精益联合集团</v>
      </c>
      <c r="E15" s="166" t="str">
        <f t="shared" si="7"/>
        <v>只</v>
      </c>
      <c r="F15" s="166">
        <f>ROUND(SUM(F18:F19),0)</f>
        <v>2</v>
      </c>
      <c r="G15" s="42">
        <f t="shared" si="8"/>
        <v>12</v>
      </c>
      <c r="H15" s="42">
        <f t="shared" si="9"/>
        <v>24</v>
      </c>
      <c r="I15" s="167"/>
      <c r="J15" s="168">
        <f t="shared" si="6"/>
        <v>1</v>
      </c>
      <c r="K15" s="169">
        <f t="shared" si="10"/>
        <v>12</v>
      </c>
      <c r="L15" s="170">
        <f>IFERROR(VLOOKUP(C15,元件库!$B:$O,10,FALSE),"1.00")</f>
        <v>1</v>
      </c>
      <c r="M15" s="171">
        <f>IFERROR(VLOOKUP(C15,元件库!$B:$O,11,FALSE),"")</f>
        <v>12</v>
      </c>
      <c r="N15" s="172" t="str">
        <f t="shared" ca="1" si="5"/>
        <v/>
      </c>
      <c r="O15" s="157"/>
    </row>
    <row r="16" spans="1:23" s="175" customFormat="1" ht="16.5" customHeight="1" x14ac:dyDescent="0.2">
      <c r="A16" s="38">
        <f>COUNTIF($J$1:J16,"!")</f>
        <v>1</v>
      </c>
      <c r="B16" s="163" t="str">
        <f>IFERROR(VLOOKUP(C16,元件库!$B:$O,3,FALSE),"")</f>
        <v>铜排</v>
      </c>
      <c r="C16" s="185" t="s">
        <v>1889</v>
      </c>
      <c r="D16" s="165" t="str">
        <f>IFERROR(VLOOKUP(C16,元件库!$B:$O,2,FALSE),"")</f>
        <v>欣利铜材</v>
      </c>
      <c r="E16" s="166" t="str">
        <f t="shared" si="7"/>
        <v>米</v>
      </c>
      <c r="F16" s="166">
        <v>6</v>
      </c>
      <c r="G16" s="42">
        <f t="shared" si="8"/>
        <v>182.62799999999999</v>
      </c>
      <c r="H16" s="42">
        <f t="shared" si="9"/>
        <v>1095.768</v>
      </c>
      <c r="I16" s="167"/>
      <c r="J16" s="168">
        <f t="shared" si="6"/>
        <v>1</v>
      </c>
      <c r="K16" s="169">
        <f t="shared" si="10"/>
        <v>182.62799999999999</v>
      </c>
      <c r="L16" s="170">
        <f>IFERROR(VLOOKUP(C16,元件库!$B:$O,10,FALSE),"1.00")</f>
        <v>1</v>
      </c>
      <c r="M16" s="171">
        <f>IFERROR(VLOOKUP(C16,元件库!$B:$O,11,FALSE),"")</f>
        <v>182.62799999999999</v>
      </c>
      <c r="N16" s="172" t="str">
        <f t="shared" ca="1" si="5"/>
        <v/>
      </c>
      <c r="O16" s="174" t="str">
        <f>O19</f>
        <v>HXGN-500*900*2000</v>
      </c>
    </row>
    <row r="17" spans="1:23" s="175" customFormat="1" ht="16.5" customHeight="1" x14ac:dyDescent="0.2">
      <c r="A17" s="38">
        <f>COUNTIF($J$1:J17,"!")</f>
        <v>1</v>
      </c>
      <c r="B17" s="163" t="str">
        <f>IFERROR(VLOOKUP(C17,元件库!$B:$O,3,FALSE),"")</f>
        <v>铜排</v>
      </c>
      <c r="C17" s="185" t="s">
        <v>1910</v>
      </c>
      <c r="D17" s="165" t="str">
        <f>IFERROR(VLOOKUP(C17,元件库!$B:$O,2,FALSE),"")</f>
        <v>欣利铜材</v>
      </c>
      <c r="E17" s="166" t="str">
        <f t="shared" si="7"/>
        <v>米</v>
      </c>
      <c r="F17" s="166">
        <v>3</v>
      </c>
      <c r="G17" s="42">
        <f t="shared" si="8"/>
        <v>45.656999999999996</v>
      </c>
      <c r="H17" s="42">
        <f t="shared" si="9"/>
        <v>136.971</v>
      </c>
      <c r="I17" s="167"/>
      <c r="J17" s="168">
        <f t="shared" si="6"/>
        <v>1</v>
      </c>
      <c r="K17" s="169">
        <f t="shared" si="10"/>
        <v>45.656999999999996</v>
      </c>
      <c r="L17" s="170">
        <f>IFERROR(VLOOKUP(C17,元件库!$B:$O,10,FALSE),"1.00")</f>
        <v>1</v>
      </c>
      <c r="M17" s="171">
        <f>IFERROR(VLOOKUP(C17,元件库!$B:$O,11,FALSE),"")</f>
        <v>45.656999999999996</v>
      </c>
      <c r="N17" s="172" t="str">
        <f t="shared" ca="1" si="5"/>
        <v/>
      </c>
      <c r="O17" s="174">
        <f>O20</f>
        <v>0</v>
      </c>
    </row>
    <row r="18" spans="1:23" s="175" customFormat="1" ht="16.5" customHeight="1" x14ac:dyDescent="0.2">
      <c r="A18" s="38">
        <f>COUNTIF($J$1:J18,"!")</f>
        <v>1</v>
      </c>
      <c r="B18" s="163" t="s">
        <v>2171</v>
      </c>
      <c r="C18" s="185" t="s">
        <v>1889</v>
      </c>
      <c r="D18" s="165" t="str">
        <f>IFERROR(VLOOKUP(C18,元件库!$B:$O,2,FALSE),"")</f>
        <v>欣利铜材</v>
      </c>
      <c r="E18" s="166" t="str">
        <f t="shared" si="7"/>
        <v>米</v>
      </c>
      <c r="F18" s="166">
        <f>1*MID(O18,FIND("-",O18)+1,FIND("*",O18)-FIND("-",O18)-1)/1000*IF(B18="水平排",3,1)+IF(AND(B18="零母排",VLOOKUP(A18,A$1:B14,2,FALSE)="低压进线柜"),1.5,0)</f>
        <v>1.5</v>
      </c>
      <c r="G18" s="42">
        <f t="shared" si="8"/>
        <v>182.62799999999999</v>
      </c>
      <c r="H18" s="42">
        <f t="shared" si="9"/>
        <v>273.94200000000001</v>
      </c>
      <c r="I18" s="167"/>
      <c r="J18" s="168">
        <f t="shared" si="6"/>
        <v>1</v>
      </c>
      <c r="K18" s="169">
        <f t="shared" si="10"/>
        <v>182.62799999999999</v>
      </c>
      <c r="L18" s="170">
        <f>IFERROR(VLOOKUP(C18,元件库!$B:$O,10,FALSE),"1.00")</f>
        <v>1</v>
      </c>
      <c r="M18" s="171">
        <f>IFERROR(VLOOKUP(C18,元件库!$B:$O,11,FALSE),"")</f>
        <v>182.62799999999999</v>
      </c>
      <c r="N18" s="172" t="str">
        <f t="shared" ca="1" si="5"/>
        <v/>
      </c>
      <c r="O18" s="174" t="str">
        <f>O21</f>
        <v>HXGN-500*900*2000</v>
      </c>
    </row>
    <row r="19" spans="1:23" s="175" customFormat="1" ht="16.5" customHeight="1" x14ac:dyDescent="0.2">
      <c r="A19" s="38">
        <f>COUNTIF($J$1:J19,"!")</f>
        <v>1</v>
      </c>
      <c r="B19" s="163" t="s">
        <v>2172</v>
      </c>
      <c r="C19" s="185" t="s">
        <v>2326</v>
      </c>
      <c r="D19" s="165" t="str">
        <f>IFERROR(VLOOKUP(C19,元件库!$B:$O,2,FALSE),"")</f>
        <v>欣利铜材</v>
      </c>
      <c r="E19" s="166" t="str">
        <f t="shared" si="7"/>
        <v>米</v>
      </c>
      <c r="F19" s="166">
        <f>1*MID(O19,FIND("-",O19)+1,FIND("*",O19)-FIND("-",O19)-1)/1000*IF(B19="水平排",3,1)+IF(AND(B19="零母排",VLOOKUP(A19,A$1:B15,2,FALSE)="低压进线柜"),1.5,0)</f>
        <v>0.5</v>
      </c>
      <c r="G19" s="42">
        <f t="shared" si="8"/>
        <v>81.167999999999992</v>
      </c>
      <c r="H19" s="42">
        <f t="shared" si="9"/>
        <v>40.583999999999996</v>
      </c>
      <c r="I19" s="167"/>
      <c r="J19" s="168">
        <f t="shared" si="6"/>
        <v>1</v>
      </c>
      <c r="K19" s="169">
        <f t="shared" si="10"/>
        <v>81.167999999999992</v>
      </c>
      <c r="L19" s="170">
        <f>IFERROR(VLOOKUP(C19,元件库!$B:$O,10,FALSE),"1.00")</f>
        <v>1</v>
      </c>
      <c r="M19" s="171">
        <f>IFERROR(VLOOKUP(C19,元件库!$B:$O,11,FALSE),"")</f>
        <v>81.167999999999992</v>
      </c>
      <c r="N19" s="172" t="str">
        <f t="shared" ca="1" si="5"/>
        <v/>
      </c>
      <c r="O19" s="174" t="str">
        <f>O22</f>
        <v>HXGN-500*900*2000</v>
      </c>
    </row>
    <row r="20" spans="1:23" s="162" customFormat="1" ht="16.5" customHeight="1" x14ac:dyDescent="0.2">
      <c r="A20" s="38">
        <f>COUNTIF($J$1:J20,"!")</f>
        <v>1</v>
      </c>
      <c r="B20" s="177" t="s">
        <v>107</v>
      </c>
      <c r="C20" s="164"/>
      <c r="D20" s="166"/>
      <c r="E20" s="166"/>
      <c r="F20" s="166"/>
      <c r="G20" s="42"/>
      <c r="H20" s="42"/>
      <c r="I20" s="178">
        <f>SUM(H3:H20)</f>
        <v>5946.5149999999994</v>
      </c>
      <c r="J20" s="168"/>
      <c r="K20" s="169"/>
      <c r="L20" s="170"/>
      <c r="M20" s="171"/>
      <c r="O20" s="161"/>
      <c r="P20" s="157"/>
    </row>
    <row r="21" spans="1:23" ht="16.5" customHeight="1" x14ac:dyDescent="0.2">
      <c r="A21" s="38">
        <f>COUNTIF($J$1:J21,"!")</f>
        <v>1</v>
      </c>
      <c r="B21" s="179" t="s">
        <v>47</v>
      </c>
      <c r="C21" s="164"/>
      <c r="D21" s="166"/>
      <c r="E21" s="166"/>
      <c r="F21" s="166"/>
      <c r="G21" s="42"/>
      <c r="H21" s="42">
        <f>IFERROR(J21*M21*L21,"")</f>
        <v>400</v>
      </c>
      <c r="I21" s="167"/>
      <c r="J21" s="168">
        <f>P$1</f>
        <v>1</v>
      </c>
      <c r="K21" s="169">
        <f t="shared" si="10"/>
        <v>400</v>
      </c>
      <c r="L21" s="170" t="str">
        <f>IFERROR(VLOOKUP(C21,元件库!$B:$O,10,FALSE),"1.00")</f>
        <v>1.00</v>
      </c>
      <c r="M21" s="171">
        <v>400</v>
      </c>
      <c r="O21" s="180" t="str">
        <f>C3</f>
        <v>HXGN-500*900*2000</v>
      </c>
      <c r="P21" s="162"/>
      <c r="R21" s="157"/>
      <c r="S21" s="157"/>
    </row>
    <row r="22" spans="1:23" s="161" customFormat="1" ht="16.5" customHeight="1" x14ac:dyDescent="0.2">
      <c r="A22" s="38">
        <f>COUNTIF($J$1:J22,"!")</f>
        <v>1</v>
      </c>
      <c r="B22" s="179" t="s">
        <v>49</v>
      </c>
      <c r="C22" s="164"/>
      <c r="D22" s="166"/>
      <c r="E22" s="166"/>
      <c r="F22" s="166"/>
      <c r="G22" s="42"/>
      <c r="H22" s="42">
        <f>IFERROR(J22*M22*L22,"")</f>
        <v>200</v>
      </c>
      <c r="I22" s="167"/>
      <c r="J22" s="168">
        <f>P$1</f>
        <v>1</v>
      </c>
      <c r="K22" s="169">
        <f t="shared" si="10"/>
        <v>200</v>
      </c>
      <c r="L22" s="170" t="str">
        <f>IFERROR(VLOOKUP(C22,元件库!$B:$O,10,FALSE),"1.00")</f>
        <v>1.00</v>
      </c>
      <c r="M22" s="171">
        <v>200</v>
      </c>
      <c r="O22" s="174" t="str">
        <f>O21</f>
        <v>HXGN-500*900*2000</v>
      </c>
      <c r="P22" s="162"/>
      <c r="Q22" s="162"/>
    </row>
    <row r="23" spans="1:23" s="161" customFormat="1" ht="16.5" customHeight="1" x14ac:dyDescent="0.2">
      <c r="A23" s="38">
        <f>COUNTIF($J$1:J23,"!")</f>
        <v>1</v>
      </c>
      <c r="B23" s="179" t="s">
        <v>79</v>
      </c>
      <c r="C23" s="164"/>
      <c r="D23" s="166"/>
      <c r="E23" s="166"/>
      <c r="F23" s="166"/>
      <c r="G23" s="42"/>
      <c r="H23" s="42">
        <f>K23*L23</f>
        <v>785.58179999999993</v>
      </c>
      <c r="I23" s="167"/>
      <c r="J23" s="168"/>
      <c r="K23" s="169">
        <f>SUM(H21:H22)+I20</f>
        <v>6546.5149999999994</v>
      </c>
      <c r="L23" s="279">
        <f>R$1</f>
        <v>0.12</v>
      </c>
      <c r="M23" s="171"/>
      <c r="O23" s="181"/>
      <c r="P23" s="162"/>
      <c r="Q23" s="162"/>
    </row>
    <row r="24" spans="1:23" ht="16.5" customHeight="1" x14ac:dyDescent="0.2">
      <c r="A24" s="38">
        <f>COUNTIF($J$1:J24,"!")</f>
        <v>1</v>
      </c>
      <c r="B24" s="179" t="s">
        <v>108</v>
      </c>
      <c r="C24" s="164"/>
      <c r="D24" s="166"/>
      <c r="E24" s="166"/>
      <c r="F24" s="166"/>
      <c r="G24" s="184"/>
      <c r="H24" s="42">
        <f>K24*L24</f>
        <v>219.96290399999998</v>
      </c>
      <c r="I24" s="167"/>
      <c r="J24" s="168"/>
      <c r="K24" s="169">
        <f>H23+K23</f>
        <v>7332.0967999999993</v>
      </c>
      <c r="L24" s="279">
        <f>T$1</f>
        <v>0.03</v>
      </c>
      <c r="M24" s="171"/>
      <c r="O24" s="161"/>
      <c r="P24" s="162"/>
      <c r="R24" s="157"/>
      <c r="S24" s="157"/>
    </row>
    <row r="25" spans="1:23" s="162" customFormat="1" ht="16.5" customHeight="1" x14ac:dyDescent="0.15">
      <c r="A25" s="32">
        <f>COUNTIF($J$1:J25,"!")</f>
        <v>2</v>
      </c>
      <c r="B25" s="33" t="s">
        <v>1886</v>
      </c>
      <c r="C25" s="296" t="s">
        <v>3121</v>
      </c>
      <c r="D25" s="159" t="s">
        <v>1931</v>
      </c>
      <c r="E25" s="34" t="s">
        <v>23</v>
      </c>
      <c r="F25" s="159">
        <v>1</v>
      </c>
      <c r="G25" s="36">
        <f>ROUND(SUM(H26:H44),0)</f>
        <v>6671</v>
      </c>
      <c r="H25" s="160" t="str">
        <f>IF(ISNUMBER(FIND(" ",C26)),MID(C26,1,FIND(" ",C26)-1),IF(ISNUMBER(FIND("电容柜",B25)),"GGJ",MID(C26,1,FIND("-",C26)-1)))</f>
        <v>HXGN</v>
      </c>
      <c r="I25" s="47" t="str">
        <f>MID(C26,IF(LEN(C26)-LEN(H25)&gt;3,LEN(H25)+2,1),30)</f>
        <v>800*900*2000</v>
      </c>
      <c r="J25" s="48" t="s">
        <v>24</v>
      </c>
      <c r="K25" s="49"/>
      <c r="L25" s="50"/>
      <c r="M25" s="51"/>
      <c r="N25" s="172"/>
      <c r="O25" s="161"/>
    </row>
    <row r="26" spans="1:23" s="162" customFormat="1" ht="16.5" customHeight="1" x14ac:dyDescent="0.2">
      <c r="A26" s="38">
        <f>COUNTIF($J$1:J26,"!")</f>
        <v>2</v>
      </c>
      <c r="B26" s="163" t="str">
        <f>IFERROR(VLOOKUP(C26,元件库!$B:$O,3,FALSE),"")</f>
        <v>壳体W*D*H</v>
      </c>
      <c r="C26" s="164" t="s">
        <v>3122</v>
      </c>
      <c r="D26" s="165" t="str">
        <f>IFERROR(VLOOKUP(C26,元件库!$B:$O,2,FALSE),"")</f>
        <v>精益联合集团</v>
      </c>
      <c r="E26" s="166" t="str">
        <f t="shared" ref="E26:E31" si="11">IF(D26="欣利铜材","米",IF(B26="氧化锌避雷器","组","只"))</f>
        <v>只</v>
      </c>
      <c r="F26" s="166">
        <v>1</v>
      </c>
      <c r="G26" s="42">
        <f t="shared" ref="G26:G31" si="12">IFERROR(J26*K26,"")</f>
        <v>1800</v>
      </c>
      <c r="H26" s="42">
        <f t="shared" ref="H26:H31" si="13">IFERROR(G26*F26,"")</f>
        <v>1800</v>
      </c>
      <c r="I26" s="167"/>
      <c r="J26" s="168">
        <f t="shared" ref="J26:J31" si="14">P$1</f>
        <v>1</v>
      </c>
      <c r="K26" s="169">
        <f t="shared" ref="K26:K31" si="15">IFERROR(M26*L26,"")</f>
        <v>1800</v>
      </c>
      <c r="L26" s="170">
        <f>IFERROR(VLOOKUP(C26,元件库!$B:$O,10,FALSE),"1.00")</f>
        <v>1</v>
      </c>
      <c r="M26" s="171">
        <f>IFERROR(VLOOKUP(C26,元件库!$B:$O,11,FALSE),"")</f>
        <v>1800</v>
      </c>
      <c r="N26" s="172" t="str">
        <f t="shared" ref="N26:N39" ca="1" si="16">IF(AND(ISNUMBER(FIND("IF",_xlfn.FORMULATEXT(L26))),ISNUMBER(FIND("IF",_xlfn.FORMULATEXT(M26)))),"","值")</f>
        <v/>
      </c>
      <c r="O26" s="157"/>
      <c r="P26" s="157"/>
    </row>
    <row r="27" spans="1:23" s="175" customFormat="1" ht="16.5" customHeight="1" x14ac:dyDescent="0.2">
      <c r="A27" s="38">
        <f>COUNTIF($J$1:J27,"!")</f>
        <v>2</v>
      </c>
      <c r="B27" s="163" t="str">
        <f>IFERROR(VLOOKUP(C27,元件库!$B:$O,3,FALSE),"")</f>
        <v/>
      </c>
      <c r="C27" s="164" t="s">
        <v>861</v>
      </c>
      <c r="D27" s="165" t="str">
        <f>IFERROR(VLOOKUP(C27,元件库!$B:$O,2,FALSE),"")</f>
        <v/>
      </c>
      <c r="E27" s="166" t="str">
        <f t="shared" si="11"/>
        <v>只</v>
      </c>
      <c r="F27" s="166">
        <v>1</v>
      </c>
      <c r="G27" s="42" t="str">
        <f t="shared" si="12"/>
        <v/>
      </c>
      <c r="H27" s="42" t="str">
        <f t="shared" si="13"/>
        <v/>
      </c>
      <c r="I27" s="167"/>
      <c r="J27" s="168">
        <f t="shared" si="14"/>
        <v>1</v>
      </c>
      <c r="K27" s="169" t="str">
        <f t="shared" si="15"/>
        <v/>
      </c>
      <c r="L27" s="170" t="str">
        <f>IFERROR(VLOOKUP(C27,元件库!$B:$O,10,FALSE),"1.00")</f>
        <v>1.00</v>
      </c>
      <c r="M27" s="171" t="str">
        <f>IFERROR(VLOOKUP(C27,元件库!$B:$O,11,FALSE),"")</f>
        <v/>
      </c>
      <c r="N27" s="172" t="str">
        <f t="shared" ca="1" si="16"/>
        <v/>
      </c>
      <c r="O27" s="157"/>
      <c r="W27" s="162"/>
    </row>
    <row r="28" spans="1:23" s="175" customFormat="1" ht="16.5" customHeight="1" x14ac:dyDescent="0.2">
      <c r="A28" s="38">
        <f>COUNTIF($J$1:J28,"!")</f>
        <v>2</v>
      </c>
      <c r="B28" s="163" t="str">
        <f>IFERROR(VLOOKUP(C28,元件库!$B:$O,3,FALSE),"")</f>
        <v>高压熔断器</v>
      </c>
      <c r="C28" s="164" t="s">
        <v>3123</v>
      </c>
      <c r="D28" s="165" t="str">
        <f>IFERROR(VLOOKUP(C28,元件库!$B:$O,2,FALSE),"")</f>
        <v>上海智广</v>
      </c>
      <c r="E28" s="166" t="str">
        <f t="shared" si="11"/>
        <v>只</v>
      </c>
      <c r="F28" s="166">
        <v>3</v>
      </c>
      <c r="G28" s="42">
        <f t="shared" si="12"/>
        <v>140</v>
      </c>
      <c r="H28" s="42">
        <f t="shared" si="13"/>
        <v>420</v>
      </c>
      <c r="I28" s="167"/>
      <c r="J28" s="168">
        <f t="shared" si="14"/>
        <v>1</v>
      </c>
      <c r="K28" s="169">
        <f t="shared" si="15"/>
        <v>140</v>
      </c>
      <c r="L28" s="170">
        <f>IFERROR(VLOOKUP(C28,元件库!$B:$O,10,FALSE),"1.00")</f>
        <v>1</v>
      </c>
      <c r="M28" s="171">
        <f>IFERROR(VLOOKUP(C28,元件库!$B:$O,11,FALSE),"")</f>
        <v>140</v>
      </c>
      <c r="N28" s="172" t="str">
        <f t="shared" ca="1" si="16"/>
        <v/>
      </c>
      <c r="O28" s="157"/>
      <c r="W28" s="162"/>
    </row>
    <row r="29" spans="1:23" s="175" customFormat="1" ht="16.5" customHeight="1" x14ac:dyDescent="0.2">
      <c r="A29" s="38">
        <f>COUNTIF($J$1:J29,"!")</f>
        <v>2</v>
      </c>
      <c r="B29" s="163" t="str">
        <f>IFERROR(VLOOKUP(C29,元件库!$B:$O,3,FALSE),"")</f>
        <v>穿墙套管</v>
      </c>
      <c r="C29" s="164" t="s">
        <v>135</v>
      </c>
      <c r="D29" s="165" t="str">
        <f>IFERROR(VLOOKUP(C29,元件库!$B:$O,2,FALSE),"")</f>
        <v>福一开</v>
      </c>
      <c r="E29" s="166" t="str">
        <f t="shared" si="11"/>
        <v>只</v>
      </c>
      <c r="F29" s="166">
        <v>3</v>
      </c>
      <c r="G29" s="42">
        <f t="shared" si="12"/>
        <v>45</v>
      </c>
      <c r="H29" s="42">
        <f t="shared" si="13"/>
        <v>135</v>
      </c>
      <c r="I29" s="167"/>
      <c r="J29" s="168">
        <f t="shared" si="14"/>
        <v>1</v>
      </c>
      <c r="K29" s="169">
        <f t="shared" si="15"/>
        <v>45</v>
      </c>
      <c r="L29" s="170">
        <f>IFERROR(VLOOKUP(C29,元件库!$B:$O,10,FALSE),"1.00")</f>
        <v>1</v>
      </c>
      <c r="M29" s="171">
        <f>IFERROR(VLOOKUP(C29,元件库!$B:$O,11,FALSE),"")</f>
        <v>45</v>
      </c>
      <c r="N29" s="172" t="str">
        <f t="shared" ca="1" si="16"/>
        <v/>
      </c>
      <c r="O29" s="157"/>
      <c r="W29" s="162"/>
    </row>
    <row r="30" spans="1:23" s="175" customFormat="1" ht="16.5" customHeight="1" x14ac:dyDescent="0.2">
      <c r="A30" s="38">
        <f>COUNTIF($J$1:J30,"!")</f>
        <v>2</v>
      </c>
      <c r="B30" s="163" t="str">
        <f>IFERROR(VLOOKUP(C30,元件库!$B:$O,3,FALSE),"")</f>
        <v>支柱绝缘子</v>
      </c>
      <c r="C30" s="164" t="s">
        <v>136</v>
      </c>
      <c r="D30" s="165" t="str">
        <f>IFERROR(VLOOKUP(C30,元件库!$B:$O,2,FALSE),"")</f>
        <v>福一开</v>
      </c>
      <c r="E30" s="166" t="str">
        <f t="shared" si="11"/>
        <v>只</v>
      </c>
      <c r="F30" s="166">
        <v>3</v>
      </c>
      <c r="G30" s="42">
        <f t="shared" si="12"/>
        <v>22</v>
      </c>
      <c r="H30" s="42">
        <f t="shared" si="13"/>
        <v>66</v>
      </c>
      <c r="I30" s="167"/>
      <c r="J30" s="168">
        <f t="shared" si="14"/>
        <v>1</v>
      </c>
      <c r="K30" s="169">
        <f t="shared" si="15"/>
        <v>22</v>
      </c>
      <c r="L30" s="170">
        <f>IFERROR(VLOOKUP(C30,元件库!$B:$O,10,FALSE),"1.00")</f>
        <v>1</v>
      </c>
      <c r="M30" s="171">
        <f>IFERROR(VLOOKUP(C30,元件库!$B:$O,11,FALSE),"")</f>
        <v>22</v>
      </c>
      <c r="N30" s="172" t="str">
        <f t="shared" ca="1" si="16"/>
        <v/>
      </c>
      <c r="O30" s="157"/>
      <c r="W30" s="162"/>
    </row>
    <row r="31" spans="1:23" s="175" customFormat="1" ht="16.5" customHeight="1" x14ac:dyDescent="0.2">
      <c r="A31" s="38">
        <f>COUNTIF($J$1:J31,"!")</f>
        <v>2</v>
      </c>
      <c r="B31" s="163" t="str">
        <f>IFERROR(VLOOKUP(C31,元件库!$B:$O,3,FALSE),"")</f>
        <v>电压传感器</v>
      </c>
      <c r="C31" s="164" t="s">
        <v>137</v>
      </c>
      <c r="D31" s="165" t="str">
        <f>IFERROR(VLOOKUP(C31,元件库!$B:$O,2,FALSE),"")</f>
        <v>福一开</v>
      </c>
      <c r="E31" s="166" t="str">
        <f t="shared" si="11"/>
        <v>只</v>
      </c>
      <c r="F31" s="166">
        <v>1</v>
      </c>
      <c r="G31" s="42">
        <f t="shared" si="12"/>
        <v>93</v>
      </c>
      <c r="H31" s="42">
        <f t="shared" si="13"/>
        <v>93</v>
      </c>
      <c r="I31" s="167"/>
      <c r="J31" s="168">
        <f t="shared" si="14"/>
        <v>1</v>
      </c>
      <c r="K31" s="169">
        <f t="shared" si="15"/>
        <v>93</v>
      </c>
      <c r="L31" s="170">
        <f>IFERROR(VLOOKUP(C31,元件库!$B:$O,10,FALSE),"1.00")</f>
        <v>1</v>
      </c>
      <c r="M31" s="171">
        <f>IFERROR(VLOOKUP(C31,元件库!$B:$O,11,FALSE),"")</f>
        <v>93</v>
      </c>
      <c r="N31" s="172" t="str">
        <f t="shared" ca="1" si="16"/>
        <v/>
      </c>
      <c r="O31" s="157"/>
      <c r="W31" s="162"/>
    </row>
    <row r="32" spans="1:23" s="175" customFormat="1" ht="16.5" customHeight="1" x14ac:dyDescent="0.2">
      <c r="A32" s="38">
        <f>COUNTIF($J$1:J32,"!")</f>
        <v>2</v>
      </c>
      <c r="B32" s="163" t="str">
        <f>IFERROR(VLOOKUP(C32,元件库!$B:$O,3,FALSE),"")</f>
        <v>带电显示器</v>
      </c>
      <c r="C32" s="164" t="s">
        <v>1897</v>
      </c>
      <c r="D32" s="165" t="str">
        <f>IFERROR(VLOOKUP(C32,元件库!$B:$O,2,FALSE),"")</f>
        <v>江山鑫源</v>
      </c>
      <c r="E32" s="166" t="str">
        <f>IF(D32="欣利铜材","米",IF(B32="氧化锌避雷器","组","只"))</f>
        <v>只</v>
      </c>
      <c r="F32" s="166">
        <v>1</v>
      </c>
      <c r="G32" s="42">
        <f>IFERROR(J32*K32,"")</f>
        <v>33</v>
      </c>
      <c r="H32" s="42">
        <f>IFERROR(G32*F32,"")</f>
        <v>33</v>
      </c>
      <c r="I32" s="167"/>
      <c r="J32" s="168">
        <f>P$1</f>
        <v>1</v>
      </c>
      <c r="K32" s="169">
        <f>IFERROR(M32*L32,"")</f>
        <v>33</v>
      </c>
      <c r="L32" s="170">
        <f>IFERROR(VLOOKUP(C32,元件库!$B:$O,10,FALSE),"1.00")</f>
        <v>1</v>
      </c>
      <c r="M32" s="171">
        <f>IFERROR(VLOOKUP(C32,元件库!$B:$O,11,FALSE),"")</f>
        <v>33</v>
      </c>
      <c r="N32" s="172" t="str">
        <f t="shared" ca="1" si="16"/>
        <v/>
      </c>
      <c r="O32" s="157"/>
      <c r="W32" s="162"/>
    </row>
    <row r="33" spans="1:23" s="175" customFormat="1" ht="16.5" customHeight="1" x14ac:dyDescent="0.2">
      <c r="A33" s="38">
        <f>COUNTIF($J$1:J33,"!")</f>
        <v>2</v>
      </c>
      <c r="B33" s="163" t="str">
        <f>IFERROR(VLOOKUP(C33,元件库!$B:$O,3,FALSE),"")</f>
        <v>电磁锁</v>
      </c>
      <c r="C33" s="164" t="s">
        <v>98</v>
      </c>
      <c r="D33" s="165" t="str">
        <f>IFERROR(VLOOKUP(C33,元件库!$B:$O,2,FALSE),"")</f>
        <v>哈陆拉</v>
      </c>
      <c r="E33" s="166" t="str">
        <f>IF(D33="欣利铜材","米",IF(B33="氧化锌避雷器","组","只"))</f>
        <v>只</v>
      </c>
      <c r="F33" s="166">
        <v>1</v>
      </c>
      <c r="G33" s="42">
        <f>IFERROR(J33*K33,"")</f>
        <v>55</v>
      </c>
      <c r="H33" s="42">
        <f>IFERROR(G33*F33,"")</f>
        <v>55</v>
      </c>
      <c r="I33" s="167"/>
      <c r="J33" s="168">
        <f t="shared" ref="J33:J39" si="17">P$1</f>
        <v>1</v>
      </c>
      <c r="K33" s="169">
        <f>IFERROR(M33*L33,"")</f>
        <v>55</v>
      </c>
      <c r="L33" s="170">
        <f>IFERROR(VLOOKUP(C33,元件库!$B:$O,10,FALSE),"1.00")</f>
        <v>1</v>
      </c>
      <c r="M33" s="171">
        <f>IFERROR(VLOOKUP(C33,元件库!$B:$O,11,FALSE),"")</f>
        <v>55</v>
      </c>
      <c r="N33" s="172" t="str">
        <f t="shared" ca="1" si="16"/>
        <v/>
      </c>
      <c r="O33" s="157"/>
      <c r="W33" s="162"/>
    </row>
    <row r="34" spans="1:23" s="175" customFormat="1" ht="16.5" customHeight="1" x14ac:dyDescent="0.2">
      <c r="A34" s="38">
        <f>COUNTIF($J$1:J34,"!")</f>
        <v>2</v>
      </c>
      <c r="B34" s="163" t="str">
        <f>IFERROR(VLOOKUP(C34,元件库!$B:$O,3,FALSE),"")</f>
        <v>温湿度控制器</v>
      </c>
      <c r="C34" s="164" t="s">
        <v>153</v>
      </c>
      <c r="D34" s="165" t="str">
        <f>IFERROR(VLOOKUP(C34,元件库!$B:$O,2,FALSE),"")</f>
        <v>实德电气</v>
      </c>
      <c r="E34" s="166" t="str">
        <f t="shared" ref="E34:E39" si="18">IF(D34="欣利铜材","米",IF(B34="氧化锌避雷器","组","只"))</f>
        <v>只</v>
      </c>
      <c r="F34" s="166">
        <v>1</v>
      </c>
      <c r="G34" s="42">
        <f t="shared" ref="G34:G39" si="19">IFERROR(J34*K34,"")</f>
        <v>110</v>
      </c>
      <c r="H34" s="42">
        <f t="shared" ref="H34:H39" si="20">IFERROR(G34*F34,"")</f>
        <v>110</v>
      </c>
      <c r="I34" s="167"/>
      <c r="J34" s="168">
        <f t="shared" si="17"/>
        <v>1</v>
      </c>
      <c r="K34" s="169">
        <f t="shared" ref="K34:K39" si="21">IFERROR(M34*L34,"")</f>
        <v>110</v>
      </c>
      <c r="L34" s="170">
        <f>IFERROR(VLOOKUP(C34,元件库!$B:$O,10,FALSE),"1.00")</f>
        <v>1</v>
      </c>
      <c r="M34" s="171">
        <f>IFERROR(VLOOKUP(C34,元件库!$B:$O,11,FALSE),"")</f>
        <v>110</v>
      </c>
      <c r="N34" s="172" t="str">
        <f t="shared" ca="1" si="16"/>
        <v/>
      </c>
      <c r="O34" s="157"/>
    </row>
    <row r="35" spans="1:23" s="175" customFormat="1" ht="16.5" customHeight="1" x14ac:dyDescent="0.2">
      <c r="A35" s="38">
        <f>COUNTIF($J$1:J35,"!")</f>
        <v>2</v>
      </c>
      <c r="B35" s="163" t="str">
        <f>IFERROR(VLOOKUP(C35,元件库!$B:$O,3,FALSE),"")</f>
        <v>加热器</v>
      </c>
      <c r="C35" s="164" t="s">
        <v>101</v>
      </c>
      <c r="D35" s="165" t="str">
        <f>IFERROR(VLOOKUP(C35,元件库!$B:$O,2,FALSE),"")</f>
        <v>实德电气</v>
      </c>
      <c r="E35" s="166" t="str">
        <f t="shared" si="18"/>
        <v>只</v>
      </c>
      <c r="F35" s="166">
        <v>2</v>
      </c>
      <c r="G35" s="42">
        <f t="shared" si="19"/>
        <v>18</v>
      </c>
      <c r="H35" s="42">
        <f t="shared" si="20"/>
        <v>36</v>
      </c>
      <c r="I35" s="167"/>
      <c r="J35" s="168">
        <f t="shared" si="17"/>
        <v>1</v>
      </c>
      <c r="K35" s="169">
        <f t="shared" si="21"/>
        <v>18</v>
      </c>
      <c r="L35" s="170">
        <f>IFERROR(VLOOKUP(C35,元件库!$B:$O,10,FALSE),"1.00")</f>
        <v>1</v>
      </c>
      <c r="M35" s="171">
        <f>IFERROR(VLOOKUP(C35,元件库!$B:$O,11,FALSE),"")</f>
        <v>18</v>
      </c>
      <c r="N35" s="172" t="str">
        <f t="shared" ca="1" si="16"/>
        <v/>
      </c>
      <c r="O35" s="157"/>
    </row>
    <row r="36" spans="1:23" s="175" customFormat="1" ht="16.5" customHeight="1" x14ac:dyDescent="0.2">
      <c r="A36" s="38">
        <f>COUNTIF($J$1:J36,"!")</f>
        <v>2</v>
      </c>
      <c r="B36" s="163" t="str">
        <f>IFERROR(VLOOKUP(C36,元件库!$B:$O,3,FALSE),"")</f>
        <v>高压热缩管</v>
      </c>
      <c r="C36" s="185" t="str">
        <f>"10KV"&amp;MID(C38,4,10)</f>
        <v>10KV-60*6</v>
      </c>
      <c r="D36" s="165" t="str">
        <f>IFERROR(VLOOKUP(C36,元件库!$B:$O,2,FALSE),"")</f>
        <v>精益联合集团</v>
      </c>
      <c r="E36" s="166" t="str">
        <f t="shared" si="18"/>
        <v>只</v>
      </c>
      <c r="F36" s="166">
        <f>ROUND(SUM(F38:F39),0)</f>
        <v>3</v>
      </c>
      <c r="G36" s="42">
        <f t="shared" si="19"/>
        <v>12</v>
      </c>
      <c r="H36" s="42">
        <f t="shared" si="20"/>
        <v>36</v>
      </c>
      <c r="I36" s="167"/>
      <c r="J36" s="168">
        <f t="shared" si="17"/>
        <v>1</v>
      </c>
      <c r="K36" s="169">
        <f t="shared" si="21"/>
        <v>12</v>
      </c>
      <c r="L36" s="170">
        <f>IFERROR(VLOOKUP(C36,元件库!$B:$O,10,FALSE),"1.00")</f>
        <v>1</v>
      </c>
      <c r="M36" s="171">
        <f>IFERROR(VLOOKUP(C36,元件库!$B:$O,11,FALSE),"")</f>
        <v>12</v>
      </c>
      <c r="N36" s="172" t="str">
        <f t="shared" ca="1" si="16"/>
        <v/>
      </c>
      <c r="O36" s="157"/>
    </row>
    <row r="37" spans="1:23" s="175" customFormat="1" ht="16.5" customHeight="1" x14ac:dyDescent="0.2">
      <c r="A37" s="38">
        <f>COUNTIF($J$1:J37,"!")</f>
        <v>2</v>
      </c>
      <c r="B37" s="163" t="str">
        <f>IFERROR(VLOOKUP(C37,元件库!$B:$O,3,FALSE),"")</f>
        <v>铜排</v>
      </c>
      <c r="C37" s="185" t="s">
        <v>1889</v>
      </c>
      <c r="D37" s="165" t="str">
        <f>IFERROR(VLOOKUP(C37,元件库!$B:$O,2,FALSE),"")</f>
        <v>欣利铜材</v>
      </c>
      <c r="E37" s="166" t="str">
        <f t="shared" si="18"/>
        <v>米</v>
      </c>
      <c r="F37" s="166">
        <v>6</v>
      </c>
      <c r="G37" s="42">
        <f t="shared" si="19"/>
        <v>182.62799999999999</v>
      </c>
      <c r="H37" s="42">
        <f t="shared" si="20"/>
        <v>1095.768</v>
      </c>
      <c r="I37" s="167"/>
      <c r="J37" s="168">
        <f t="shared" si="17"/>
        <v>1</v>
      </c>
      <c r="K37" s="169">
        <f t="shared" si="21"/>
        <v>182.62799999999999</v>
      </c>
      <c r="L37" s="170">
        <f>IFERROR(VLOOKUP(C37,元件库!$B:$O,10,FALSE),"1.00")</f>
        <v>1</v>
      </c>
      <c r="M37" s="171">
        <f>IFERROR(VLOOKUP(C37,元件库!$B:$O,11,FALSE),"")</f>
        <v>182.62799999999999</v>
      </c>
      <c r="N37" s="172" t="str">
        <f t="shared" ca="1" si="16"/>
        <v/>
      </c>
      <c r="O37" s="174" t="str">
        <f>O39</f>
        <v>HXGN-800*900*2000</v>
      </c>
    </row>
    <row r="38" spans="1:23" s="175" customFormat="1" ht="16.5" customHeight="1" x14ac:dyDescent="0.2">
      <c r="A38" s="38">
        <f>COUNTIF($J$1:J38,"!")</f>
        <v>2</v>
      </c>
      <c r="B38" s="163" t="s">
        <v>2171</v>
      </c>
      <c r="C38" s="185" t="s">
        <v>1889</v>
      </c>
      <c r="D38" s="165" t="str">
        <f>IFERROR(VLOOKUP(C38,元件库!$B:$O,2,FALSE),"")</f>
        <v>欣利铜材</v>
      </c>
      <c r="E38" s="166" t="str">
        <f t="shared" si="18"/>
        <v>米</v>
      </c>
      <c r="F38" s="166">
        <f>1*MID(O38,FIND("-",O38)+1,FIND("*",O38)-FIND("-",O38)-1)/1000*IF(B38="水平排",3,1)+IF(AND(B38="零母排",VLOOKUP(A38,A$1:B35,2,FALSE)="低压进线柜"),1.5,0)</f>
        <v>2.4000000000000004</v>
      </c>
      <c r="G38" s="42">
        <f t="shared" si="19"/>
        <v>182.62799999999999</v>
      </c>
      <c r="H38" s="42">
        <f t="shared" si="20"/>
        <v>438.30720000000002</v>
      </c>
      <c r="I38" s="167"/>
      <c r="J38" s="168">
        <f t="shared" si="17"/>
        <v>1</v>
      </c>
      <c r="K38" s="169">
        <f t="shared" si="21"/>
        <v>182.62799999999999</v>
      </c>
      <c r="L38" s="170">
        <f>IFERROR(VLOOKUP(C38,元件库!$B:$O,10,FALSE),"1.00")</f>
        <v>1</v>
      </c>
      <c r="M38" s="171">
        <f>IFERROR(VLOOKUP(C38,元件库!$B:$O,11,FALSE),"")</f>
        <v>182.62799999999999</v>
      </c>
      <c r="N38" s="172" t="str">
        <f t="shared" ca="1" si="16"/>
        <v/>
      </c>
      <c r="O38" s="174" t="str">
        <f>O41</f>
        <v>HXGN-800*900*2000</v>
      </c>
    </row>
    <row r="39" spans="1:23" s="175" customFormat="1" ht="16.5" customHeight="1" x14ac:dyDescent="0.2">
      <c r="A39" s="38">
        <f>COUNTIF($J$1:J39,"!")</f>
        <v>2</v>
      </c>
      <c r="B39" s="163" t="s">
        <v>2172</v>
      </c>
      <c r="C39" s="185" t="s">
        <v>2326</v>
      </c>
      <c r="D39" s="165" t="str">
        <f>IFERROR(VLOOKUP(C39,元件库!$B:$O,2,FALSE),"")</f>
        <v>欣利铜材</v>
      </c>
      <c r="E39" s="166" t="str">
        <f t="shared" si="18"/>
        <v>米</v>
      </c>
      <c r="F39" s="166">
        <f>1*MID(O39,FIND("-",O39)+1,FIND("*",O39)-FIND("-",O39)-1)/1000*IF(B39="水平排",3,1)+IF(AND(B39="零母排",VLOOKUP(A39,A$1:B36,2,FALSE)="低压进线柜"),1.5,0)</f>
        <v>0.8</v>
      </c>
      <c r="G39" s="42">
        <f t="shared" si="19"/>
        <v>81.167999999999992</v>
      </c>
      <c r="H39" s="42">
        <f t="shared" si="20"/>
        <v>64.934399999999997</v>
      </c>
      <c r="I39" s="167"/>
      <c r="J39" s="168">
        <f t="shared" si="17"/>
        <v>1</v>
      </c>
      <c r="K39" s="169">
        <f t="shared" si="21"/>
        <v>81.167999999999992</v>
      </c>
      <c r="L39" s="170">
        <f>IFERROR(VLOOKUP(C39,元件库!$B:$O,10,FALSE),"1.00")</f>
        <v>1</v>
      </c>
      <c r="M39" s="171">
        <f>IFERROR(VLOOKUP(C39,元件库!$B:$O,11,FALSE),"")</f>
        <v>81.167999999999992</v>
      </c>
      <c r="N39" s="172" t="str">
        <f t="shared" ca="1" si="16"/>
        <v/>
      </c>
      <c r="O39" s="174" t="str">
        <f>O42</f>
        <v>HXGN-800*900*2000</v>
      </c>
    </row>
    <row r="40" spans="1:23" s="162" customFormat="1" ht="16.5" customHeight="1" x14ac:dyDescent="0.2">
      <c r="A40" s="38">
        <f>COUNTIF($J$1:J40,"!")</f>
        <v>2</v>
      </c>
      <c r="B40" s="177" t="s">
        <v>107</v>
      </c>
      <c r="C40" s="164"/>
      <c r="D40" s="166"/>
      <c r="E40" s="166"/>
      <c r="F40" s="166"/>
      <c r="G40" s="42"/>
      <c r="H40" s="42"/>
      <c r="I40" s="178">
        <f>SUM(H26:H40)</f>
        <v>4383.0096000000003</v>
      </c>
      <c r="J40" s="168"/>
      <c r="K40" s="169"/>
      <c r="L40" s="170"/>
      <c r="M40" s="171"/>
      <c r="O40" s="161"/>
      <c r="P40" s="157"/>
    </row>
    <row r="41" spans="1:23" ht="16.5" customHeight="1" x14ac:dyDescent="0.2">
      <c r="A41" s="38">
        <f>COUNTIF($J$1:J41,"!")</f>
        <v>2</v>
      </c>
      <c r="B41" s="179" t="s">
        <v>47</v>
      </c>
      <c r="C41" s="164"/>
      <c r="D41" s="166"/>
      <c r="E41" s="166"/>
      <c r="F41" s="166"/>
      <c r="G41" s="42"/>
      <c r="H41" s="42">
        <f>IFERROR(J41*M41*L41,"")</f>
        <v>800</v>
      </c>
      <c r="I41" s="167"/>
      <c r="J41" s="168">
        <f>P$1</f>
        <v>1</v>
      </c>
      <c r="K41" s="169">
        <f>IFERROR(M41*L41,"")</f>
        <v>800</v>
      </c>
      <c r="L41" s="170" t="str">
        <f>IFERROR(VLOOKUP(C41,元件库!$B:$O,10,FALSE),"1.00")</f>
        <v>1.00</v>
      </c>
      <c r="M41" s="171">
        <f>IF(ISNUMBER(FIND("提升",VLOOKUP(A41,A$1:B40,2,FALSE))),IF(B41="成套费",400,200),IF(OR(ISNUMBER(FIND("XGN",O41)),ISNUMBER(FIND("HXGN",O41))),IF(B41="成套费",800,600),IF(ISNUMBER(FIND("KYN28",O41)),IF(B41="成套费",900,700),"")))</f>
        <v>800</v>
      </c>
      <c r="O41" s="180" t="str">
        <f>C26</f>
        <v>HXGN-800*900*2000</v>
      </c>
      <c r="P41" s="162"/>
      <c r="R41" s="157"/>
      <c r="S41" s="157"/>
    </row>
    <row r="42" spans="1:23" s="161" customFormat="1" ht="16.5" customHeight="1" x14ac:dyDescent="0.2">
      <c r="A42" s="38">
        <f>COUNTIF($J$1:J42,"!")</f>
        <v>2</v>
      </c>
      <c r="B42" s="179" t="s">
        <v>49</v>
      </c>
      <c r="C42" s="164"/>
      <c r="D42" s="166"/>
      <c r="E42" s="166"/>
      <c r="F42" s="166"/>
      <c r="G42" s="42"/>
      <c r="H42" s="42">
        <f>IFERROR(J42*M42*L42,"")</f>
        <v>600</v>
      </c>
      <c r="I42" s="167"/>
      <c r="J42" s="168">
        <f>P$1</f>
        <v>1</v>
      </c>
      <c r="K42" s="169">
        <f>IFERROR(M42*L42,"")</f>
        <v>600</v>
      </c>
      <c r="L42" s="170" t="str">
        <f>IFERROR(VLOOKUP(C42,元件库!$B:$O,10,FALSE),"1.00")</f>
        <v>1.00</v>
      </c>
      <c r="M42" s="171">
        <f>IF(ISNUMBER(FIND("提升",VLOOKUP(A42,A$1:B41,2,FALSE))),IF(B42="成套费",400,200),IF(OR(ISNUMBER(FIND("XGN",O42)),ISNUMBER(FIND("HXGN",O42))),IF(B42="成套费",800,600),IF(ISNUMBER(FIND("KYN28",O42)),IF(B42="成套费",900,700),"")))</f>
        <v>600</v>
      </c>
      <c r="O42" s="174" t="str">
        <f>O41</f>
        <v>HXGN-800*900*2000</v>
      </c>
      <c r="P42" s="162"/>
      <c r="Q42" s="162"/>
    </row>
    <row r="43" spans="1:23" s="161" customFormat="1" ht="16.5" customHeight="1" x14ac:dyDescent="0.2">
      <c r="A43" s="38">
        <f>COUNTIF($J$1:J43,"!")</f>
        <v>2</v>
      </c>
      <c r="B43" s="179" t="s">
        <v>79</v>
      </c>
      <c r="C43" s="164"/>
      <c r="D43" s="166"/>
      <c r="E43" s="166"/>
      <c r="F43" s="166"/>
      <c r="G43" s="42"/>
      <c r="H43" s="42">
        <f>K43*L43</f>
        <v>693.96115199999997</v>
      </c>
      <c r="I43" s="167"/>
      <c r="J43" s="168"/>
      <c r="K43" s="169">
        <f>SUM(H41:H42)+I40</f>
        <v>5783.0096000000003</v>
      </c>
      <c r="L43" s="279">
        <f>R$1</f>
        <v>0.12</v>
      </c>
      <c r="M43" s="171"/>
      <c r="O43" s="181"/>
      <c r="P43" s="162"/>
      <c r="Q43" s="162"/>
    </row>
    <row r="44" spans="1:23" ht="16.5" customHeight="1" x14ac:dyDescent="0.2">
      <c r="A44" s="38">
        <f>COUNTIF($J$1:J44,"!")</f>
        <v>2</v>
      </c>
      <c r="B44" s="179" t="s">
        <v>108</v>
      </c>
      <c r="C44" s="164"/>
      <c r="D44" s="166"/>
      <c r="E44" s="166"/>
      <c r="F44" s="166"/>
      <c r="G44" s="184"/>
      <c r="H44" s="42">
        <f>K44*L44</f>
        <v>194.30912255999999</v>
      </c>
      <c r="I44" s="167"/>
      <c r="J44" s="168"/>
      <c r="K44" s="169">
        <f>H43+K43</f>
        <v>6476.9707520000002</v>
      </c>
      <c r="L44" s="279">
        <f>T$1</f>
        <v>0.03</v>
      </c>
      <c r="M44" s="171"/>
      <c r="O44" s="161"/>
      <c r="P44" s="162"/>
      <c r="R44" s="157"/>
      <c r="S44" s="157"/>
    </row>
    <row r="45" spans="1:23" ht="16.5" customHeight="1" x14ac:dyDescent="0.15">
      <c r="A45" s="32">
        <f>COUNTIF($J$1:J45,"!")</f>
        <v>3</v>
      </c>
      <c r="B45" s="33" t="str">
        <f>IF(MID(H45,1,3)="SCB","干式","油式")&amp;B46</f>
        <v>干式变压器</v>
      </c>
      <c r="C45" s="158" t="s">
        <v>179</v>
      </c>
      <c r="D45" s="159" t="s">
        <v>1931</v>
      </c>
      <c r="E45" s="34" t="s">
        <v>23</v>
      </c>
      <c r="F45" s="159">
        <v>1</v>
      </c>
      <c r="G45" s="36">
        <f>ROUND(SUM(H46:H49),0)</f>
        <v>38285</v>
      </c>
      <c r="H45" s="160" t="str">
        <f>IF(ISNUMBER(FIND("M",C46)),MID(C46,1,FIND(" ",C46)-1),MID(C46,1,FIND(" ",C46)-1))</f>
        <v>SCB11-630KVA</v>
      </c>
      <c r="I45" s="47" t="str">
        <f>MID(C46,LEN(H45)+2,30)</f>
        <v>全铝</v>
      </c>
      <c r="J45" s="48" t="s">
        <v>24</v>
      </c>
      <c r="K45" s="49"/>
      <c r="L45" s="50"/>
      <c r="M45" s="51"/>
      <c r="N45" s="161" t="str">
        <f>IF(ISNUMBER(FIND("M",C46)),MID(C46,FIND("M",C46)+2,FIND(" ",C46)-FIND("M",C46)-1),MID(C46,FIND("-",C46)+1,FIND(" ",C46)-FIND("-",C46)))</f>
        <v xml:space="preserve">630KVA </v>
      </c>
      <c r="O45" s="297"/>
    </row>
    <row r="46" spans="1:23" ht="16.5" customHeight="1" x14ac:dyDescent="0.2">
      <c r="A46" s="38">
        <f>COUNTIF($J$1:J46,"!")</f>
        <v>3</v>
      </c>
      <c r="B46" s="163" t="str">
        <f>IFERROR(VLOOKUP(C46,元件库!$B:$O,3,FALSE),"")</f>
        <v>变压器</v>
      </c>
      <c r="C46" s="298" t="s">
        <v>3124</v>
      </c>
      <c r="D46" s="165">
        <f>IFERROR(VLOOKUP(C46,元件库!$B:$O,2,FALSE),"")</f>
        <v>0</v>
      </c>
      <c r="E46" s="166" t="s">
        <v>29</v>
      </c>
      <c r="F46" s="166">
        <v>1</v>
      </c>
      <c r="G46" s="42">
        <f>IFERROR(J46*K46,"")</f>
        <v>38285</v>
      </c>
      <c r="H46" s="42">
        <f>IFERROR(G46*F46,"")</f>
        <v>38285</v>
      </c>
      <c r="I46" s="167"/>
      <c r="J46" s="168">
        <f>P$1</f>
        <v>1</v>
      </c>
      <c r="K46" s="169">
        <f>IFERROR(M46*L46,"")</f>
        <v>38285</v>
      </c>
      <c r="L46" s="170">
        <v>0.95</v>
      </c>
      <c r="M46" s="171">
        <f>IFERROR(VLOOKUP(C46,元件库!$B:$O,11,FALSE),"")</f>
        <v>40300</v>
      </c>
      <c r="N46" s="172" t="str">
        <f ca="1">IF(ISNUMBER(FIND("IF",_xlfn.FORMULATEXT(M46))),"","值")</f>
        <v/>
      </c>
      <c r="O46" s="174"/>
      <c r="P46" s="161" t="str">
        <f>IFERROR(((MID(C46,FIND(" ",C46)+1,FIND("*",C46)-FIND(" ",C46)-1)*MID(C46,FIND("*",C46)+1,FIND("*",MID(C46,FIND("*",C46)+1,30))-1))+(MID(C46,FIND(" ",C46)+1,FIND("*",C46)-FIND(" ",C46)-1)*MID(C46,FIND("*",C46)+1+FIND("*",MID(C46,FIND("*",C46)+1,30)),30))+(MID(C46,FIND("*",C46)+1,FIND("*",MID(C46,FIND("*",C46)+1,30))-1)*MID(C46,FIND("*",C46)+1+FIND("*",MID(C46,FIND("*",C46)+1,30)),30)))/500000+IFERROR(IF(ROUND(MID(C46,FIND("*",C46)+FIND("*",MID(C46,FIND("*",C46)+1,30))+1,10),0)&gt;=350,(MID(C46,FIND(" ",C46)+1,FIND("*",C46)-FIND(" ",C46)-1)*MID(C46,FIND("*",C46)+1,FIND("*",MID(C46,FIND("*",C46)+1,30))-1))/2000000,(MID(C46,FIND(" ",C46)+1,FIND("*",C46)-FIND(" ",C46)-1)*MID(C46,FIND("*",C46)+1,FIND("*",MID(C46,FIND("*",C46)+1,30))-1))/1000000),""),"")</f>
        <v/>
      </c>
      <c r="Q46" s="157"/>
    </row>
    <row r="47" spans="1:23" ht="16.5" customHeight="1" x14ac:dyDescent="0.2">
      <c r="A47" s="38">
        <f>COUNTIF($J$1:J47,"!")</f>
        <v>3</v>
      </c>
      <c r="B47" s="177" t="s">
        <v>107</v>
      </c>
      <c r="C47" s="164"/>
      <c r="D47" s="166"/>
      <c r="E47" s="166"/>
      <c r="F47" s="166"/>
      <c r="G47" s="42"/>
      <c r="H47" s="42"/>
      <c r="I47" s="178">
        <f>SUM(H46:H47)</f>
        <v>38285</v>
      </c>
      <c r="J47" s="168"/>
      <c r="K47" s="169"/>
      <c r="L47" s="170"/>
      <c r="M47" s="171"/>
      <c r="O47" s="174"/>
      <c r="P47" s="162"/>
      <c r="Q47" s="157"/>
    </row>
    <row r="48" spans="1:23" s="161" customFormat="1" ht="16.5" customHeight="1" x14ac:dyDescent="0.2">
      <c r="A48" s="38">
        <f>COUNTIF($J$1:J48,"!")</f>
        <v>3</v>
      </c>
      <c r="B48" s="179" t="s">
        <v>79</v>
      </c>
      <c r="C48" s="164"/>
      <c r="D48" s="166"/>
      <c r="E48" s="166"/>
      <c r="F48" s="166"/>
      <c r="G48" s="42"/>
      <c r="H48" s="42">
        <f>K48*L48</f>
        <v>0</v>
      </c>
      <c r="I48" s="167"/>
      <c r="J48" s="168"/>
      <c r="K48" s="169">
        <f>I47</f>
        <v>38285</v>
      </c>
      <c r="L48" s="279"/>
      <c r="M48" s="171"/>
      <c r="O48" s="181"/>
      <c r="P48" s="162"/>
      <c r="Q48" s="162"/>
    </row>
    <row r="49" spans="1:19" ht="16.5" customHeight="1" x14ac:dyDescent="0.2">
      <c r="A49" s="38">
        <f>COUNTIF($J$1:J49,"!")</f>
        <v>3</v>
      </c>
      <c r="B49" s="179" t="s">
        <v>108</v>
      </c>
      <c r="C49" s="164"/>
      <c r="D49" s="166"/>
      <c r="E49" s="166"/>
      <c r="F49" s="166"/>
      <c r="G49" s="184"/>
      <c r="H49" s="42">
        <f>K49*L49</f>
        <v>0</v>
      </c>
      <c r="I49" s="167"/>
      <c r="J49" s="168"/>
      <c r="K49" s="169">
        <f>H48+K48</f>
        <v>38285</v>
      </c>
      <c r="L49" s="299"/>
      <c r="M49" s="171"/>
      <c r="O49" s="161"/>
      <c r="P49" s="162"/>
      <c r="R49" s="157"/>
      <c r="S49" s="157"/>
    </row>
    <row r="50" spans="1:19" ht="16.5" customHeight="1" x14ac:dyDescent="0.15">
      <c r="A50" s="32">
        <f>COUNTIF($J$1:J50,"!")</f>
        <v>4</v>
      </c>
      <c r="B50" s="33" t="s">
        <v>3042</v>
      </c>
      <c r="C50" s="158" t="s">
        <v>3125</v>
      </c>
      <c r="D50" s="159" t="s">
        <v>1931</v>
      </c>
      <c r="E50" s="34" t="s">
        <v>23</v>
      </c>
      <c r="F50" s="159">
        <v>1</v>
      </c>
      <c r="G50" s="36">
        <f>ROUND(SUM(H51:H67),0)</f>
        <v>14823</v>
      </c>
      <c r="H50" s="160" t="str">
        <f>IF(ISNUMBER(FIND(" ",C51)),MID(C51,1,FIND(" ",C51)-1),IF(ISNUMBER(FIND("电容柜",B50)),"GGJ",MID(C51,1,FIND("-",C51)-1)))</f>
        <v>GGD</v>
      </c>
      <c r="I50" s="47" t="str">
        <f>MID(C51,IF(LEN(C51)-LEN(H50)&gt;3,LEN(H50)+2,1),30)</f>
        <v>800*600*2000</v>
      </c>
      <c r="J50" s="48" t="s">
        <v>24</v>
      </c>
      <c r="K50" s="49"/>
      <c r="L50" s="50"/>
      <c r="M50" s="51"/>
      <c r="O50" s="162"/>
    </row>
    <row r="51" spans="1:19" ht="16.5" customHeight="1" x14ac:dyDescent="0.2">
      <c r="A51" s="38">
        <f>COUNTIF($J$1:J51,"!")</f>
        <v>4</v>
      </c>
      <c r="B51" s="163" t="str">
        <f>IFERROR(VLOOKUP(C51,元件库!$B:$O,3,FALSE),"")</f>
        <v>壳体W*D*H</v>
      </c>
      <c r="C51" s="164" t="s">
        <v>2337</v>
      </c>
      <c r="D51" s="165" t="str">
        <f>IFERROR(VLOOKUP(C51,元件库!$B:$O,2,FALSE),"")</f>
        <v>精益联合集团</v>
      </c>
      <c r="E51" s="166" t="str">
        <f t="shared" ref="E51:E62" si="22">IF(D51="欣利铜材","米",IF(B51="熔断器","套","只"))</f>
        <v>只</v>
      </c>
      <c r="F51" s="166">
        <v>1</v>
      </c>
      <c r="G51" s="42">
        <f t="shared" ref="G51:G62" si="23">IFERROR(J51*K51,"")</f>
        <v>1782.4999999999998</v>
      </c>
      <c r="H51" s="42">
        <f t="shared" ref="H51:H62" si="24">IFERROR(G51*F51,"")</f>
        <v>1782.4999999999998</v>
      </c>
      <c r="I51" s="167"/>
      <c r="J51" s="168">
        <f>P$1</f>
        <v>1</v>
      </c>
      <c r="K51" s="169">
        <f t="shared" ref="K51:K62" si="25">IFERROR(M51*L51,"")</f>
        <v>1782.4999999999998</v>
      </c>
      <c r="L51" s="170">
        <v>1.1499999999999999</v>
      </c>
      <c r="M51" s="171">
        <f>IFERROR(VLOOKUP(C51,元件库!$B:$O,11,FALSE),"")</f>
        <v>1550</v>
      </c>
      <c r="N51" s="172" t="str">
        <f t="shared" ref="N51:N62" ca="1" si="26">IF(AND(ISNUMBER(FIND("IF",_xlfn.FORMULATEXT(L51))),ISNUMBER(FIND("IF",_xlfn.FORMULATEXT(M51)))),"","值")</f>
        <v>值</v>
      </c>
      <c r="O51" s="157" t="str">
        <f>B50</f>
        <v>低压进线柜</v>
      </c>
    </row>
    <row r="52" spans="1:19" s="173" customFormat="1" ht="16.5" customHeight="1" x14ac:dyDescent="0.2">
      <c r="A52" s="38">
        <f>COUNTIF($J$1:J52,"!")</f>
        <v>4</v>
      </c>
      <c r="B52" s="163" t="str">
        <f>IFERROR(VLOOKUP(C52,元件库!$B:$O,3,FALSE),"")</f>
        <v/>
      </c>
      <c r="C52" s="164" t="s">
        <v>3043</v>
      </c>
      <c r="D52" s="165" t="str">
        <f>IFERROR(VLOOKUP(C52,元件库!$B:$O,2,FALSE),"")</f>
        <v/>
      </c>
      <c r="E52" s="166" t="str">
        <f t="shared" si="22"/>
        <v>只</v>
      </c>
      <c r="F52" s="166">
        <v>3</v>
      </c>
      <c r="G52" s="42" t="str">
        <f t="shared" si="23"/>
        <v/>
      </c>
      <c r="H52" s="42" t="str">
        <f t="shared" si="24"/>
        <v/>
      </c>
      <c r="I52" s="167"/>
      <c r="J52" s="168">
        <f t="shared" ref="J52:J62" si="27">P$1</f>
        <v>1</v>
      </c>
      <c r="K52" s="169" t="str">
        <f t="shared" si="25"/>
        <v/>
      </c>
      <c r="L52" s="170" t="str">
        <f>IFERROR(VLOOKUP(C52,元件库!$B:$O,10,FALSE),"1.00")</f>
        <v>1.00</v>
      </c>
      <c r="M52" s="171" t="str">
        <f>IFERROR(VLOOKUP(C52,元件库!$B:$O,11,FALSE),"")</f>
        <v/>
      </c>
      <c r="N52" s="172" t="str">
        <f t="shared" ca="1" si="26"/>
        <v/>
      </c>
      <c r="P52" s="161"/>
    </row>
    <row r="53" spans="1:19" s="173" customFormat="1" ht="16.5" customHeight="1" x14ac:dyDescent="0.2">
      <c r="A53" s="38">
        <f>COUNTIF($J$1:J53,"!")</f>
        <v>4</v>
      </c>
      <c r="B53" s="163" t="str">
        <f>IFERROR(VLOOKUP(C53,元件库!$B:$O,3,FALSE),"")</f>
        <v>刀开关</v>
      </c>
      <c r="C53" s="164" t="s">
        <v>3050</v>
      </c>
      <c r="D53" s="165" t="str">
        <f>IFERROR(VLOOKUP(C53,元件库!$B:$O,2,FALSE),"")</f>
        <v>精益联合集团</v>
      </c>
      <c r="E53" s="166" t="str">
        <f t="shared" si="22"/>
        <v>只</v>
      </c>
      <c r="F53" s="166">
        <v>1</v>
      </c>
      <c r="G53" s="42">
        <f t="shared" si="23"/>
        <v>929.50000000000011</v>
      </c>
      <c r="H53" s="42">
        <f t="shared" si="24"/>
        <v>929.50000000000011</v>
      </c>
      <c r="I53" s="167"/>
      <c r="J53" s="168">
        <f t="shared" si="27"/>
        <v>1</v>
      </c>
      <c r="K53" s="169">
        <f t="shared" si="25"/>
        <v>929.50000000000011</v>
      </c>
      <c r="L53" s="170">
        <f>IFERROR(VLOOKUP(C53,元件库!$B:$O,10,FALSE),"1.00")</f>
        <v>0.55000000000000004</v>
      </c>
      <c r="M53" s="171">
        <f>IFERROR(VLOOKUP(C53,元件库!$B:$O,11,FALSE),"")</f>
        <v>1690</v>
      </c>
      <c r="N53" s="172" t="str">
        <f t="shared" ca="1" si="26"/>
        <v/>
      </c>
      <c r="P53" s="161"/>
    </row>
    <row r="54" spans="1:19" s="173" customFormat="1" ht="16.5" customHeight="1" x14ac:dyDescent="0.2">
      <c r="A54" s="38">
        <f>COUNTIF($J$1:J54,"!")</f>
        <v>4</v>
      </c>
      <c r="B54" s="163" t="str">
        <f>IFERROR(VLOOKUP(C54,元件库!$B:$O,3,FALSE),"")</f>
        <v>框架断路器</v>
      </c>
      <c r="C54" s="164" t="s">
        <v>3126</v>
      </c>
      <c r="D54" s="165" t="str">
        <f>IFERROR(VLOOKUP(C54,元件库!$B:$O,2,FALSE),"")</f>
        <v>吉坤电气</v>
      </c>
      <c r="E54" s="166" t="str">
        <f t="shared" si="22"/>
        <v>只</v>
      </c>
      <c r="F54" s="166">
        <v>1</v>
      </c>
      <c r="G54" s="42">
        <f t="shared" si="23"/>
        <v>4305</v>
      </c>
      <c r="H54" s="42">
        <f t="shared" si="24"/>
        <v>4305</v>
      </c>
      <c r="I54" s="167"/>
      <c r="J54" s="168">
        <f t="shared" si="27"/>
        <v>1</v>
      </c>
      <c r="K54" s="169">
        <f t="shared" si="25"/>
        <v>4305</v>
      </c>
      <c r="L54" s="170">
        <f>IFERROR(VLOOKUP(C54,元件库!$B:$O,10,FALSE),"1.00")</f>
        <v>1</v>
      </c>
      <c r="M54" s="171">
        <f>IFERROR(VLOOKUP(C54,元件库!$B:$O,11,FALSE),"")</f>
        <v>4305</v>
      </c>
      <c r="N54" s="172" t="str">
        <f t="shared" ca="1" si="26"/>
        <v/>
      </c>
      <c r="P54" s="161"/>
    </row>
    <row r="55" spans="1:19" s="173" customFormat="1" ht="16.5" customHeight="1" x14ac:dyDescent="0.2">
      <c r="A55" s="38">
        <f>COUNTIF($J$1:J55,"!")</f>
        <v>4</v>
      </c>
      <c r="B55" s="163" t="str">
        <f>IFERROR(VLOOKUP(C55,元件库!$B:$O,3,FALSE),"")</f>
        <v/>
      </c>
      <c r="C55" s="164" t="s">
        <v>2674</v>
      </c>
      <c r="D55" s="165" t="str">
        <f>IFERROR(VLOOKUP(C55,元件库!$B:$O,2,FALSE),"")</f>
        <v/>
      </c>
      <c r="E55" s="166" t="str">
        <f t="shared" si="22"/>
        <v>只</v>
      </c>
      <c r="F55" s="166">
        <v>3</v>
      </c>
      <c r="G55" s="42" t="str">
        <f t="shared" si="23"/>
        <v/>
      </c>
      <c r="H55" s="42" t="str">
        <f t="shared" si="24"/>
        <v/>
      </c>
      <c r="I55" s="167"/>
      <c r="J55" s="168">
        <f t="shared" si="27"/>
        <v>1</v>
      </c>
      <c r="K55" s="169" t="str">
        <f t="shared" si="25"/>
        <v/>
      </c>
      <c r="L55" s="170" t="str">
        <f>IFERROR(VLOOKUP(C55,元件库!$B:$O,10,FALSE),"1.00")</f>
        <v>1.00</v>
      </c>
      <c r="M55" s="171" t="str">
        <f>IFERROR(VLOOKUP(C55,元件库!$B:$O,11,FALSE),"")</f>
        <v/>
      </c>
      <c r="N55" s="172" t="str">
        <f t="shared" ca="1" si="26"/>
        <v/>
      </c>
      <c r="P55" s="161"/>
    </row>
    <row r="56" spans="1:19" s="173" customFormat="1" ht="16.5" customHeight="1" x14ac:dyDescent="0.2">
      <c r="A56" s="38">
        <f>COUNTIF($J$1:J56,"!")</f>
        <v>4</v>
      </c>
      <c r="B56" s="163" t="str">
        <f>IFERROR(VLOOKUP(C56,元件库!$B:$O,3,FALSE),"")</f>
        <v>电流.电压表</v>
      </c>
      <c r="C56" s="164" t="s">
        <v>1899</v>
      </c>
      <c r="D56" s="165" t="str">
        <f>IFERROR(VLOOKUP(C56,元件库!$B:$O,2,FALSE),"")</f>
        <v>精益联合集团</v>
      </c>
      <c r="E56" s="166" t="str">
        <f t="shared" si="22"/>
        <v>只</v>
      </c>
      <c r="F56" s="166">
        <v>6</v>
      </c>
      <c r="G56" s="42">
        <f t="shared" si="23"/>
        <v>13.750000000000002</v>
      </c>
      <c r="H56" s="42">
        <f t="shared" si="24"/>
        <v>82.500000000000014</v>
      </c>
      <c r="I56" s="167"/>
      <c r="J56" s="168">
        <f t="shared" si="27"/>
        <v>1</v>
      </c>
      <c r="K56" s="169">
        <f t="shared" si="25"/>
        <v>13.750000000000002</v>
      </c>
      <c r="L56" s="170">
        <f>IFERROR(VLOOKUP(C56,元件库!$B:$O,10,FALSE),"1.00")</f>
        <v>0.55000000000000004</v>
      </c>
      <c r="M56" s="171">
        <f>IFERROR(VLOOKUP(C56,元件库!$B:$O,11,FALSE),"")</f>
        <v>25</v>
      </c>
      <c r="N56" s="172" t="str">
        <f t="shared" ca="1" si="26"/>
        <v/>
      </c>
      <c r="P56" s="161"/>
    </row>
    <row r="57" spans="1:19" s="173" customFormat="1" ht="16.5" customHeight="1" x14ac:dyDescent="0.2">
      <c r="A57" s="38">
        <f>COUNTIF($J$1:J57,"!")</f>
        <v>4</v>
      </c>
      <c r="B57" s="163" t="str">
        <f>IFERROR(VLOOKUP(C57,元件库!$B:$O,3,FALSE),"")</f>
        <v>指示灯</v>
      </c>
      <c r="C57" s="164" t="s">
        <v>3044</v>
      </c>
      <c r="D57" s="165" t="str">
        <f>IFERROR(VLOOKUP(C57,元件库!$B:$O,2,FALSE),"")</f>
        <v>精益联合集团</v>
      </c>
      <c r="E57" s="166" t="str">
        <f t="shared" si="22"/>
        <v>只</v>
      </c>
      <c r="F57" s="166">
        <v>3</v>
      </c>
      <c r="G57" s="42">
        <f t="shared" si="23"/>
        <v>2.3100000000000005</v>
      </c>
      <c r="H57" s="42">
        <f t="shared" si="24"/>
        <v>6.9300000000000015</v>
      </c>
      <c r="I57" s="167"/>
      <c r="J57" s="168">
        <f t="shared" si="27"/>
        <v>1</v>
      </c>
      <c r="K57" s="169">
        <f t="shared" si="25"/>
        <v>2.3100000000000005</v>
      </c>
      <c r="L57" s="170">
        <f>IFERROR(VLOOKUP(C57,元件库!$B:$O,10,FALSE),"1.00")</f>
        <v>0.55000000000000004</v>
      </c>
      <c r="M57" s="171">
        <f>IFERROR(VLOOKUP(C57,元件库!$B:$O,11,FALSE),"")</f>
        <v>4.2</v>
      </c>
      <c r="N57" s="172" t="str">
        <f t="shared" ca="1" si="26"/>
        <v/>
      </c>
      <c r="P57" s="161"/>
    </row>
    <row r="58" spans="1:19" s="173" customFormat="1" ht="16.5" customHeight="1" x14ac:dyDescent="0.2">
      <c r="A58" s="38">
        <f>COUNTIF($J$1:J58,"!")</f>
        <v>4</v>
      </c>
      <c r="B58" s="163" t="str">
        <f>IFERROR(VLOOKUP(C58,元件库!$B:$O,3,FALSE),"")</f>
        <v/>
      </c>
      <c r="C58" s="164" t="s">
        <v>3045</v>
      </c>
      <c r="D58" s="165" t="str">
        <f>IFERROR(VLOOKUP(C58,元件库!$B:$O,2,FALSE),"")</f>
        <v/>
      </c>
      <c r="E58" s="166" t="str">
        <f t="shared" si="22"/>
        <v>只</v>
      </c>
      <c r="F58" s="166">
        <v>2</v>
      </c>
      <c r="G58" s="42" t="str">
        <f t="shared" si="23"/>
        <v/>
      </c>
      <c r="H58" s="42" t="str">
        <f t="shared" si="24"/>
        <v/>
      </c>
      <c r="I58" s="167"/>
      <c r="J58" s="168">
        <f t="shared" si="27"/>
        <v>1</v>
      </c>
      <c r="K58" s="169" t="str">
        <f t="shared" si="25"/>
        <v/>
      </c>
      <c r="L58" s="170" t="str">
        <f>IFERROR(VLOOKUP(C58,元件库!$B:$O,10,FALSE),"1.00")</f>
        <v>1.00</v>
      </c>
      <c r="M58" s="171" t="str">
        <f>IFERROR(VLOOKUP(C58,元件库!$B:$O,11,FALSE),"")</f>
        <v/>
      </c>
      <c r="N58" s="172" t="str">
        <f t="shared" ca="1" si="26"/>
        <v/>
      </c>
      <c r="P58" s="161"/>
    </row>
    <row r="59" spans="1:19" s="173" customFormat="1" ht="16.5" customHeight="1" x14ac:dyDescent="0.2">
      <c r="A59" s="38">
        <f>COUNTIF($J$1:J59,"!")</f>
        <v>4</v>
      </c>
      <c r="B59" s="163" t="str">
        <f>IFERROR(VLOOKUP(C59,元件库!$B:$O,3,FALSE),"")</f>
        <v>铜排</v>
      </c>
      <c r="C59" s="164" t="s">
        <v>2225</v>
      </c>
      <c r="D59" s="165" t="str">
        <f>IFERROR(VLOOKUP(C59,元件库!$B:$O,2,FALSE),"")</f>
        <v>欣利铜材</v>
      </c>
      <c r="E59" s="166" t="str">
        <f t="shared" si="22"/>
        <v>米</v>
      </c>
      <c r="F59" s="166">
        <v>11</v>
      </c>
      <c r="G59" s="42">
        <f t="shared" si="23"/>
        <v>324.67199999999997</v>
      </c>
      <c r="H59" s="42">
        <f t="shared" si="24"/>
        <v>3571.3919999999998</v>
      </c>
      <c r="I59" s="167"/>
      <c r="J59" s="168">
        <f t="shared" si="27"/>
        <v>1</v>
      </c>
      <c r="K59" s="169">
        <f t="shared" si="25"/>
        <v>324.67199999999997</v>
      </c>
      <c r="L59" s="170">
        <f>IFERROR(VLOOKUP(C59,元件库!$B:$O,10,FALSE),"1.00")</f>
        <v>1</v>
      </c>
      <c r="M59" s="171">
        <f>IFERROR(VLOOKUP(C59,元件库!$B:$O,11,FALSE),"")</f>
        <v>324.67199999999997</v>
      </c>
      <c r="N59" s="172" t="str">
        <f t="shared" ca="1" si="26"/>
        <v/>
      </c>
      <c r="P59" s="161"/>
    </row>
    <row r="60" spans="1:19" s="175" customFormat="1" ht="16.5" customHeight="1" x14ac:dyDescent="0.2">
      <c r="A60" s="38">
        <f>COUNTIF($J$1:J60,"!")</f>
        <v>4</v>
      </c>
      <c r="B60" s="163" t="s">
        <v>2171</v>
      </c>
      <c r="C60" s="164" t="s">
        <v>2225</v>
      </c>
      <c r="D60" s="165" t="str">
        <f>IFERROR(VLOOKUP(C60,元件库!$B:$O,2,FALSE),"")</f>
        <v>欣利铜材</v>
      </c>
      <c r="E60" s="166" t="str">
        <f t="shared" si="22"/>
        <v>米</v>
      </c>
      <c r="F60" s="166">
        <f>1*(MID(O60,FIND("-",O60)+1,FIND("*",O60)-FIND("-",O60)-1)/1000*IF(B60="水平排",3,1))</f>
        <v>2.4000000000000004</v>
      </c>
      <c r="G60" s="42">
        <f t="shared" si="23"/>
        <v>324.67199999999997</v>
      </c>
      <c r="H60" s="42">
        <f t="shared" si="24"/>
        <v>779.21280000000002</v>
      </c>
      <c r="I60" s="167"/>
      <c r="J60" s="168">
        <f t="shared" si="27"/>
        <v>1</v>
      </c>
      <c r="K60" s="169">
        <f t="shared" si="25"/>
        <v>324.67199999999997</v>
      </c>
      <c r="L60" s="170">
        <f>IFERROR(VLOOKUP(C60,元件库!$B:$O,10,FALSE),"1.00")</f>
        <v>1</v>
      </c>
      <c r="M60" s="171">
        <f>IFERROR(VLOOKUP(C60,元件库!$B:$O,11,FALSE),"")</f>
        <v>324.67199999999997</v>
      </c>
      <c r="N60" s="172" t="str">
        <f t="shared" ca="1" si="26"/>
        <v/>
      </c>
      <c r="O60" s="174" t="str">
        <f>O64</f>
        <v>GGD-800*600*2000</v>
      </c>
    </row>
    <row r="61" spans="1:19" s="175" customFormat="1" ht="16.5" customHeight="1" x14ac:dyDescent="0.2">
      <c r="A61" s="38">
        <f>COUNTIF($J$1:J61,"!")</f>
        <v>4</v>
      </c>
      <c r="B61" s="163" t="s">
        <v>2725</v>
      </c>
      <c r="C61" s="164" t="s">
        <v>1889</v>
      </c>
      <c r="D61" s="165" t="str">
        <f>IFERROR(VLOOKUP(C61,元件库!$B:$O,2,FALSE),"")</f>
        <v>欣利铜材</v>
      </c>
      <c r="E61" s="166" t="str">
        <f t="shared" si="22"/>
        <v>米</v>
      </c>
      <c r="F61" s="166">
        <f>1*(MID(O61,FIND("-",O61)+1,FIND("*",O61)-FIND("-",O61)-1)/1000*IF(B61="水平排",3,1))</f>
        <v>0.8</v>
      </c>
      <c r="G61" s="42">
        <f t="shared" si="23"/>
        <v>182.62799999999999</v>
      </c>
      <c r="H61" s="42">
        <f t="shared" si="24"/>
        <v>146.10239999999999</v>
      </c>
      <c r="I61" s="167"/>
      <c r="J61" s="168">
        <f t="shared" si="27"/>
        <v>1</v>
      </c>
      <c r="K61" s="169">
        <f t="shared" si="25"/>
        <v>182.62799999999999</v>
      </c>
      <c r="L61" s="170">
        <f>IFERROR(VLOOKUP(C61,元件库!$B:$O,10,FALSE),"1.00")</f>
        <v>1</v>
      </c>
      <c r="M61" s="171">
        <f>IFERROR(VLOOKUP(C61,元件库!$B:$O,11,FALSE),"")</f>
        <v>182.62799999999999</v>
      </c>
      <c r="N61" s="172" t="str">
        <f t="shared" ca="1" si="26"/>
        <v/>
      </c>
      <c r="O61" s="176" t="str">
        <f>O64</f>
        <v>GGD-800*600*2000</v>
      </c>
    </row>
    <row r="62" spans="1:19" s="175" customFormat="1" ht="16.5" customHeight="1" x14ac:dyDescent="0.2">
      <c r="A62" s="38">
        <f>COUNTIF($J$1:J62,"!")</f>
        <v>4</v>
      </c>
      <c r="B62" s="163" t="s">
        <v>2172</v>
      </c>
      <c r="C62" s="164" t="s">
        <v>1889</v>
      </c>
      <c r="D62" s="165" t="str">
        <f>IFERROR(VLOOKUP(C62,元件库!$B:$O,2,FALSE),"")</f>
        <v>欣利铜材</v>
      </c>
      <c r="E62" s="166" t="str">
        <f t="shared" si="22"/>
        <v>米</v>
      </c>
      <c r="F62" s="166">
        <f>1*(MID(O62,FIND("-",O62)+1,FIND("*",O62)-FIND("-",O62)-1)/1000*IF(B62="水平排",3,1))</f>
        <v>0.8</v>
      </c>
      <c r="G62" s="42">
        <f t="shared" si="23"/>
        <v>182.62799999999999</v>
      </c>
      <c r="H62" s="42">
        <f t="shared" si="24"/>
        <v>146.10239999999999</v>
      </c>
      <c r="I62" s="167"/>
      <c r="J62" s="168">
        <f t="shared" si="27"/>
        <v>1</v>
      </c>
      <c r="K62" s="169">
        <f t="shared" si="25"/>
        <v>182.62799999999999</v>
      </c>
      <c r="L62" s="170">
        <f>IFERROR(VLOOKUP(C62,元件库!$B:$O,10,FALSE),"1.00")</f>
        <v>1</v>
      </c>
      <c r="M62" s="171">
        <f>IFERROR(VLOOKUP(C62,元件库!$B:$O,11,FALSE),"")</f>
        <v>182.62799999999999</v>
      </c>
      <c r="N62" s="172" t="str">
        <f t="shared" ca="1" si="26"/>
        <v/>
      </c>
      <c r="O62" s="176" t="str">
        <f>O64</f>
        <v>GGD-800*600*2000</v>
      </c>
    </row>
    <row r="63" spans="1:19" ht="16.5" customHeight="1" x14ac:dyDescent="0.2">
      <c r="A63" s="38">
        <f>COUNTIF($J$1:J63,"!")</f>
        <v>4</v>
      </c>
      <c r="B63" s="177" t="s">
        <v>107</v>
      </c>
      <c r="C63" s="164"/>
      <c r="D63" s="166"/>
      <c r="E63" s="166"/>
      <c r="F63" s="166"/>
      <c r="G63" s="42"/>
      <c r="H63" s="42"/>
      <c r="I63" s="178">
        <f>SUM(H51:H63)</f>
        <v>11749.239599999999</v>
      </c>
      <c r="J63" s="168"/>
      <c r="K63" s="169"/>
      <c r="L63" s="170"/>
      <c r="M63" s="171"/>
      <c r="O63" s="174"/>
      <c r="P63" s="162"/>
    </row>
    <row r="64" spans="1:19" ht="16.5" customHeight="1" x14ac:dyDescent="0.2">
      <c r="A64" s="38">
        <f>COUNTIF($J$1:J64,"!")</f>
        <v>4</v>
      </c>
      <c r="B64" s="179" t="s">
        <v>47</v>
      </c>
      <c r="C64" s="164"/>
      <c r="D64" s="166"/>
      <c r="E64" s="166"/>
      <c r="F64" s="166"/>
      <c r="G64" s="42"/>
      <c r="H64" s="42">
        <f>IFERROR(J64*K64,"")</f>
        <v>800</v>
      </c>
      <c r="I64" s="167"/>
      <c r="J64" s="168">
        <f>P$1</f>
        <v>1</v>
      </c>
      <c r="K64" s="169">
        <f>L64*M64</f>
        <v>800</v>
      </c>
      <c r="L64" s="170" t="str">
        <f>IFERROR(VLOOKUP(C64,元件库!$B:$O,10,FALSE),"1.00")</f>
        <v>1.00</v>
      </c>
      <c r="M64" s="171">
        <f>IF(B64="成套费",IF(ISNUMBER(FIND("GGD",O64)),800,IF(OR(ISNUMBER(FIND("GCS",O64)),ISNUMBER(FIND("GCK",O64)),ISNUMBER(FIND("MNS",O64))),1000,"")),IF(B64="辅件费",IF(VLOOKUP(A65,A$1:B64,2,FALSE)="低压电容柜",500,300),""))</f>
        <v>800</v>
      </c>
      <c r="O64" s="180" t="str">
        <f>C51</f>
        <v>GGD-800*600*2000</v>
      </c>
    </row>
    <row r="65" spans="1:23" s="161" customFormat="1" ht="16.5" customHeight="1" x14ac:dyDescent="0.2">
      <c r="A65" s="38">
        <f>COUNTIF($J$1:J65,"!")</f>
        <v>4</v>
      </c>
      <c r="B65" s="179" t="s">
        <v>49</v>
      </c>
      <c r="C65" s="164"/>
      <c r="D65" s="166"/>
      <c r="E65" s="166"/>
      <c r="F65" s="166"/>
      <c r="G65" s="42"/>
      <c r="H65" s="42">
        <f>IFERROR(J65*K65,"")</f>
        <v>300</v>
      </c>
      <c r="I65" s="167"/>
      <c r="J65" s="168">
        <f>P$1</f>
        <v>1</v>
      </c>
      <c r="K65" s="169">
        <f>L65*M65</f>
        <v>300</v>
      </c>
      <c r="L65" s="170" t="str">
        <f>IFERROR(VLOOKUP(C65,元件库!$B:$O,10,FALSE),"1.00")</f>
        <v>1.00</v>
      </c>
      <c r="M65" s="171">
        <f>IF(B65="成套费",IF(ISNUMBER(FIND("GGD",O65)),800,IF(OR(ISNUMBER(FIND("GCS",O65)),ISNUMBER(FIND("GCK",O65)),ISNUMBER(FIND("MNS",O65))),1000,"")),IF(B65="辅件费",IF(VLOOKUP(A65,A$1:B65,2,FALSE)="低压电容柜",500,300),""))</f>
        <v>300</v>
      </c>
      <c r="N65" s="181"/>
      <c r="O65" s="182" t="str">
        <f>O64</f>
        <v>GGD-800*600*2000</v>
      </c>
      <c r="R65" s="162"/>
      <c r="S65" s="162"/>
    </row>
    <row r="66" spans="1:23" s="161" customFormat="1" ht="16.5" customHeight="1" x14ac:dyDescent="0.2">
      <c r="A66" s="38">
        <f>COUNTIF($J$1:J66,"!")</f>
        <v>4</v>
      </c>
      <c r="B66" s="179" t="s">
        <v>79</v>
      </c>
      <c r="C66" s="164"/>
      <c r="D66" s="166"/>
      <c r="E66" s="166"/>
      <c r="F66" s="166"/>
      <c r="G66" s="42"/>
      <c r="H66" s="42">
        <f>K66*L66</f>
        <v>1541.9087519999998</v>
      </c>
      <c r="I66" s="167"/>
      <c r="J66" s="168"/>
      <c r="K66" s="169">
        <f>SUM(H63:H65)+I63</f>
        <v>12849.239599999999</v>
      </c>
      <c r="L66" s="279">
        <f>R$1</f>
        <v>0.12</v>
      </c>
      <c r="M66" s="171"/>
      <c r="N66" s="181"/>
      <c r="O66" s="162"/>
      <c r="R66" s="162"/>
      <c r="S66" s="162"/>
    </row>
    <row r="67" spans="1:23" s="162" customFormat="1" ht="16.5" customHeight="1" x14ac:dyDescent="0.2">
      <c r="A67" s="38">
        <f>COUNTIF($J$1:J67,"!")</f>
        <v>4</v>
      </c>
      <c r="B67" s="179" t="s">
        <v>108</v>
      </c>
      <c r="C67" s="164"/>
      <c r="D67" s="166"/>
      <c r="E67" s="166"/>
      <c r="F67" s="166"/>
      <c r="G67" s="184"/>
      <c r="H67" s="42">
        <f>K67*L67</f>
        <v>431.73445055999991</v>
      </c>
      <c r="I67" s="167"/>
      <c r="J67" s="168"/>
      <c r="K67" s="169">
        <f>H66+K66</f>
        <v>14391.148351999998</v>
      </c>
      <c r="L67" s="279">
        <f>T$1</f>
        <v>0.03</v>
      </c>
      <c r="M67" s="171"/>
      <c r="N67" s="161"/>
      <c r="P67" s="161"/>
      <c r="T67" s="157"/>
      <c r="U67" s="157"/>
      <c r="V67" s="157"/>
      <c r="W67" s="157"/>
    </row>
    <row r="68" spans="1:23" s="162" customFormat="1" ht="16.5" customHeight="1" x14ac:dyDescent="0.15">
      <c r="A68" s="32">
        <f>COUNTIF($J$1:J68,"!")</f>
        <v>5</v>
      </c>
      <c r="B68" s="33" t="s">
        <v>3046</v>
      </c>
      <c r="C68" s="158" t="s">
        <v>3127</v>
      </c>
      <c r="D68" s="159" t="s">
        <v>1931</v>
      </c>
      <c r="E68" s="34" t="s">
        <v>23</v>
      </c>
      <c r="F68" s="159">
        <v>1</v>
      </c>
      <c r="G68" s="36">
        <f>ROUND(SUM(H69:H85),0)</f>
        <v>10771</v>
      </c>
      <c r="H68" s="160" t="str">
        <f>IF(ISNUMBER(FIND(" ",C69)),MID(C69,1,FIND(" ",C69)-1),IF(ISNUMBER(FIND("电容柜",B68)),"GGJ",MID(C69,1,FIND("-",C69)-1)))</f>
        <v>GGJ</v>
      </c>
      <c r="I68" s="47" t="str">
        <f>MID(C69,IF(LEN(C69)-LEN(H68)&gt;3,LEN(H68)+2,1),30)</f>
        <v>800*600*2000</v>
      </c>
      <c r="J68" s="48" t="s">
        <v>24</v>
      </c>
      <c r="K68" s="49"/>
      <c r="L68" s="50"/>
      <c r="M68" s="51"/>
      <c r="N68" s="161"/>
      <c r="P68" s="161"/>
      <c r="T68" s="157"/>
      <c r="U68" s="157"/>
      <c r="V68" s="157"/>
      <c r="W68" s="157"/>
    </row>
    <row r="69" spans="1:23" s="162" customFormat="1" ht="16.5" customHeight="1" x14ac:dyDescent="0.2">
      <c r="A69" s="38">
        <f>COUNTIF($J$1:J69,"!")</f>
        <v>5</v>
      </c>
      <c r="B69" s="163" t="str">
        <f>IFERROR(VLOOKUP(C69,元件库!$B:$O,3,FALSE),"")</f>
        <v>壳体W*D*H</v>
      </c>
      <c r="C69" s="164" t="s">
        <v>2337</v>
      </c>
      <c r="D69" s="165" t="str">
        <f>IFERROR(VLOOKUP(C69,元件库!$B:$O,2,FALSE),"")</f>
        <v>精益联合集团</v>
      </c>
      <c r="E69" s="166" t="str">
        <f t="shared" ref="E69:E80" si="28">IF(D69="欣利铜材","米",IF(B69="熔断器","套","只"))</f>
        <v>只</v>
      </c>
      <c r="F69" s="166">
        <v>1</v>
      </c>
      <c r="G69" s="42">
        <f t="shared" ref="G69:G80" si="29">IFERROR(J69*K69,"")</f>
        <v>1550</v>
      </c>
      <c r="H69" s="42">
        <f t="shared" ref="H69:H80" si="30">IFERROR(G69*F69,"")</f>
        <v>1550</v>
      </c>
      <c r="I69" s="167"/>
      <c r="J69" s="168">
        <f>P$1</f>
        <v>1</v>
      </c>
      <c r="K69" s="169">
        <f t="shared" ref="K69:K80" si="31">IFERROR(M69*L69,"")</f>
        <v>1550</v>
      </c>
      <c r="L69" s="170">
        <f>IFERROR(VLOOKUP(C69,元件库!$B:$O,10,FALSE),"1.00")</f>
        <v>1</v>
      </c>
      <c r="M69" s="171">
        <f>IFERROR(VLOOKUP(C69,元件库!$B:$O,11,FALSE),"")</f>
        <v>1550</v>
      </c>
      <c r="N69" s="172" t="str">
        <f t="shared" ref="N69:N80" ca="1" si="32">IF(AND(ISNUMBER(FIND("IF",_xlfn.FORMULATEXT(L69))),ISNUMBER(FIND("IF",_xlfn.FORMULATEXT(M69)))),"","值")</f>
        <v/>
      </c>
      <c r="O69" s="157" t="str">
        <f>B68</f>
        <v>低压电容柜</v>
      </c>
      <c r="P69" s="161"/>
      <c r="T69" s="157"/>
      <c r="U69" s="157"/>
      <c r="V69" s="157"/>
      <c r="W69" s="157"/>
    </row>
    <row r="70" spans="1:23" s="173" customFormat="1" ht="16.5" customHeight="1" x14ac:dyDescent="0.2">
      <c r="A70" s="38">
        <f>COUNTIF($J$1:J70,"!")</f>
        <v>5</v>
      </c>
      <c r="B70" s="163" t="str">
        <f>IFERROR(VLOOKUP(C70,元件库!$B:$O,3,FALSE),"")</f>
        <v>刀开关</v>
      </c>
      <c r="C70" s="164" t="s">
        <v>2849</v>
      </c>
      <c r="D70" s="165" t="str">
        <f>IFERROR(VLOOKUP(C70,元件库!$B:$O,2,FALSE),"")</f>
        <v>精益联合集团</v>
      </c>
      <c r="E70" s="166" t="str">
        <f t="shared" si="28"/>
        <v>只</v>
      </c>
      <c r="F70" s="166">
        <v>1</v>
      </c>
      <c r="G70" s="42">
        <f t="shared" si="29"/>
        <v>192.50000000000003</v>
      </c>
      <c r="H70" s="42">
        <f t="shared" si="30"/>
        <v>192.50000000000003</v>
      </c>
      <c r="I70" s="167"/>
      <c r="J70" s="168">
        <f t="shared" ref="J70:J80" si="33">P$1</f>
        <v>1</v>
      </c>
      <c r="K70" s="169">
        <f t="shared" si="31"/>
        <v>192.50000000000003</v>
      </c>
      <c r="L70" s="170">
        <f>IFERROR(VLOOKUP(C70,元件库!$B:$O,10,FALSE),"1.00")</f>
        <v>0.55000000000000004</v>
      </c>
      <c r="M70" s="171">
        <f>IFERROR(VLOOKUP(C70,元件库!$B:$O,11,FALSE),"")</f>
        <v>350</v>
      </c>
      <c r="N70" s="172" t="str">
        <f t="shared" ca="1" si="32"/>
        <v/>
      </c>
      <c r="P70" s="161"/>
    </row>
    <row r="71" spans="1:23" s="173" customFormat="1" ht="16.5" customHeight="1" x14ac:dyDescent="0.2">
      <c r="A71" s="38">
        <f>COUNTIF($J$1:J71,"!")</f>
        <v>5</v>
      </c>
      <c r="B71" s="163" t="str">
        <f>IFERROR(VLOOKUP(C71,元件库!$B:$O,3,FALSE),"")</f>
        <v/>
      </c>
      <c r="C71" s="164" t="s">
        <v>3128</v>
      </c>
      <c r="D71" s="165" t="str">
        <f>IFERROR(VLOOKUP(C71,元件库!$B:$O,2,FALSE),"")</f>
        <v/>
      </c>
      <c r="E71" s="166" t="str">
        <f t="shared" si="28"/>
        <v>只</v>
      </c>
      <c r="F71" s="166">
        <v>3</v>
      </c>
      <c r="G71" s="42" t="str">
        <f t="shared" si="29"/>
        <v/>
      </c>
      <c r="H71" s="42" t="str">
        <f t="shared" si="30"/>
        <v/>
      </c>
      <c r="I71" s="167"/>
      <c r="J71" s="168">
        <f t="shared" si="33"/>
        <v>1</v>
      </c>
      <c r="K71" s="169" t="str">
        <f t="shared" si="31"/>
        <v/>
      </c>
      <c r="L71" s="170" t="str">
        <f>IFERROR(VLOOKUP(C71,元件库!$B:$O,10,FALSE),"1.00")</f>
        <v>1.00</v>
      </c>
      <c r="M71" s="171" t="str">
        <f>IFERROR(VLOOKUP(C71,元件库!$B:$O,11,FALSE),"")</f>
        <v/>
      </c>
      <c r="N71" s="172" t="str">
        <f t="shared" ca="1" si="32"/>
        <v/>
      </c>
      <c r="P71" s="161"/>
    </row>
    <row r="72" spans="1:23" s="173" customFormat="1" ht="16.5" customHeight="1" x14ac:dyDescent="0.2">
      <c r="A72" s="38">
        <f>COUNTIF($J$1:J72,"!")</f>
        <v>5</v>
      </c>
      <c r="B72" s="163" t="str">
        <f>IFERROR(VLOOKUP(C72,元件库!$B:$O,3,FALSE),"")</f>
        <v>电流.电压表</v>
      </c>
      <c r="C72" s="164" t="s">
        <v>1899</v>
      </c>
      <c r="D72" s="165" t="str">
        <f>IFERROR(VLOOKUP(C72,元件库!$B:$O,2,FALSE),"")</f>
        <v>精益联合集团</v>
      </c>
      <c r="E72" s="166" t="str">
        <f t="shared" si="28"/>
        <v>只</v>
      </c>
      <c r="F72" s="166">
        <v>6</v>
      </c>
      <c r="G72" s="42">
        <f t="shared" si="29"/>
        <v>13.750000000000002</v>
      </c>
      <c r="H72" s="42">
        <f t="shared" si="30"/>
        <v>82.500000000000014</v>
      </c>
      <c r="I72" s="167"/>
      <c r="J72" s="168">
        <f t="shared" si="33"/>
        <v>1</v>
      </c>
      <c r="K72" s="169">
        <f t="shared" si="31"/>
        <v>13.750000000000002</v>
      </c>
      <c r="L72" s="170">
        <f>IFERROR(VLOOKUP(C72,元件库!$B:$O,10,FALSE),"1.00")</f>
        <v>0.55000000000000004</v>
      </c>
      <c r="M72" s="171">
        <f>IFERROR(VLOOKUP(C72,元件库!$B:$O,11,FALSE),"")</f>
        <v>25</v>
      </c>
      <c r="N72" s="172" t="str">
        <f t="shared" ca="1" si="32"/>
        <v/>
      </c>
      <c r="P72" s="161"/>
    </row>
    <row r="73" spans="1:23" s="173" customFormat="1" ht="16.5" customHeight="1" x14ac:dyDescent="0.2">
      <c r="A73" s="38">
        <f>COUNTIF($J$1:J73,"!")</f>
        <v>5</v>
      </c>
      <c r="B73" s="163" t="str">
        <f>IFERROR(VLOOKUP(C73,元件库!$B:$O,3,FALSE),"")</f>
        <v>氧化锌避雷器</v>
      </c>
      <c r="C73" s="164" t="s">
        <v>3048</v>
      </c>
      <c r="D73" s="165" t="str">
        <f>IFERROR(VLOOKUP(C73,元件库!$B:$O,2,FALSE),"")</f>
        <v>精益联合集团</v>
      </c>
      <c r="E73" s="166" t="str">
        <f t="shared" si="28"/>
        <v>只</v>
      </c>
      <c r="F73" s="166">
        <v>3</v>
      </c>
      <c r="G73" s="42">
        <f t="shared" si="29"/>
        <v>9.9</v>
      </c>
      <c r="H73" s="42">
        <f t="shared" si="30"/>
        <v>29.700000000000003</v>
      </c>
      <c r="I73" s="167"/>
      <c r="J73" s="168">
        <f t="shared" si="33"/>
        <v>1</v>
      </c>
      <c r="K73" s="169">
        <f t="shared" si="31"/>
        <v>9.9</v>
      </c>
      <c r="L73" s="170">
        <f>IFERROR(VLOOKUP(C73,元件库!$B:$O,10,FALSE),"1.00")</f>
        <v>0.55000000000000004</v>
      </c>
      <c r="M73" s="171">
        <f>IFERROR(VLOOKUP(C73,元件库!$B:$O,11,FALSE),"")</f>
        <v>18</v>
      </c>
      <c r="N73" s="172" t="str">
        <f t="shared" ca="1" si="32"/>
        <v/>
      </c>
      <c r="P73" s="161"/>
    </row>
    <row r="74" spans="1:23" s="173" customFormat="1" ht="16.5" customHeight="1" x14ac:dyDescent="0.2">
      <c r="A74" s="38">
        <f>COUNTIF($J$1:J74,"!")</f>
        <v>5</v>
      </c>
      <c r="B74" s="163" t="str">
        <f>IFERROR(VLOOKUP(C74,元件库!$B:$O,3,FALSE),"")</f>
        <v>智能电容器</v>
      </c>
      <c r="C74" s="164" t="s">
        <v>1493</v>
      </c>
      <c r="D74" s="165" t="str">
        <f>IFERROR(VLOOKUP(C74,元件库!$B:$O,2,FALSE),"")</f>
        <v>九康电气</v>
      </c>
      <c r="E74" s="166" t="str">
        <f t="shared" si="28"/>
        <v>只</v>
      </c>
      <c r="F74" s="166">
        <v>6</v>
      </c>
      <c r="G74" s="42">
        <f t="shared" si="29"/>
        <v>715</v>
      </c>
      <c r="H74" s="42">
        <f t="shared" si="30"/>
        <v>4290</v>
      </c>
      <c r="I74" s="167"/>
      <c r="J74" s="168">
        <f t="shared" si="33"/>
        <v>1</v>
      </c>
      <c r="K74" s="169">
        <f t="shared" si="31"/>
        <v>715</v>
      </c>
      <c r="L74" s="170">
        <f>IFERROR(VLOOKUP(C74,元件库!$B:$O,10,FALSE),"1.00")</f>
        <v>1</v>
      </c>
      <c r="M74" s="171">
        <f>IFERROR(VLOOKUP(C74,元件库!$B:$O,11,FALSE),"")</f>
        <v>715</v>
      </c>
      <c r="N74" s="172" t="str">
        <f t="shared" ca="1" si="32"/>
        <v/>
      </c>
      <c r="P74" s="161"/>
    </row>
    <row r="75" spans="1:23" s="173" customFormat="1" ht="16.5" customHeight="1" x14ac:dyDescent="0.2">
      <c r="A75" s="38">
        <f>COUNTIF($J$1:J75,"!")</f>
        <v>5</v>
      </c>
      <c r="B75" s="163" t="str">
        <f>IFERROR(VLOOKUP(C75,元件库!$B:$O,3,FALSE),"")</f>
        <v>补偿控制器</v>
      </c>
      <c r="C75" s="164" t="s">
        <v>3129</v>
      </c>
      <c r="D75" s="165" t="str">
        <f>IFERROR(VLOOKUP(C75,元件库!$B:$O,2,FALSE),"")</f>
        <v>九康电气</v>
      </c>
      <c r="E75" s="166" t="str">
        <f t="shared" si="28"/>
        <v>只</v>
      </c>
      <c r="F75" s="166">
        <v>1</v>
      </c>
      <c r="G75" s="42">
        <f t="shared" si="29"/>
        <v>320</v>
      </c>
      <c r="H75" s="42">
        <f t="shared" si="30"/>
        <v>320</v>
      </c>
      <c r="I75" s="167"/>
      <c r="J75" s="168">
        <f t="shared" si="33"/>
        <v>1</v>
      </c>
      <c r="K75" s="169">
        <f t="shared" si="31"/>
        <v>320</v>
      </c>
      <c r="L75" s="170">
        <f>IFERROR(VLOOKUP(C75,元件库!$B:$O,10,FALSE),"1.00")</f>
        <v>1</v>
      </c>
      <c r="M75" s="171">
        <f>IFERROR(VLOOKUP(C75,元件库!$B:$O,11,FALSE),"")</f>
        <v>320</v>
      </c>
      <c r="N75" s="172" t="str">
        <f t="shared" ca="1" si="32"/>
        <v/>
      </c>
      <c r="P75" s="161"/>
    </row>
    <row r="76" spans="1:23" s="173" customFormat="1" ht="16.5" customHeight="1" x14ac:dyDescent="0.2">
      <c r="A76" s="38">
        <f>COUNTIF($J$1:J76,"!")</f>
        <v>5</v>
      </c>
      <c r="B76" s="163" t="str">
        <f>IFERROR(VLOOKUP(C76,元件库!$B:$O,3,FALSE),"")</f>
        <v>指示灯</v>
      </c>
      <c r="C76" s="164" t="s">
        <v>3044</v>
      </c>
      <c r="D76" s="165" t="str">
        <f>IFERROR(VLOOKUP(C76,元件库!$B:$O,2,FALSE),"")</f>
        <v>精益联合集团</v>
      </c>
      <c r="E76" s="166" t="str">
        <f t="shared" si="28"/>
        <v>只</v>
      </c>
      <c r="F76" s="166">
        <v>6</v>
      </c>
      <c r="G76" s="42">
        <f t="shared" si="29"/>
        <v>2.3100000000000005</v>
      </c>
      <c r="H76" s="42">
        <f t="shared" si="30"/>
        <v>13.860000000000003</v>
      </c>
      <c r="I76" s="167"/>
      <c r="J76" s="168">
        <f t="shared" si="33"/>
        <v>1</v>
      </c>
      <c r="K76" s="169">
        <f t="shared" si="31"/>
        <v>2.3100000000000005</v>
      </c>
      <c r="L76" s="170">
        <f>IFERROR(VLOOKUP(C76,元件库!$B:$O,10,FALSE),"1.00")</f>
        <v>0.55000000000000004</v>
      </c>
      <c r="M76" s="171">
        <f>IFERROR(VLOOKUP(C76,元件库!$B:$O,11,FALSE),"")</f>
        <v>4.2</v>
      </c>
      <c r="N76" s="172" t="str">
        <f t="shared" ca="1" si="32"/>
        <v/>
      </c>
      <c r="P76" s="161"/>
    </row>
    <row r="77" spans="1:23" s="173" customFormat="1" ht="16.5" customHeight="1" x14ac:dyDescent="0.2">
      <c r="A77" s="38">
        <f>COUNTIF($J$1:J77,"!")</f>
        <v>5</v>
      </c>
      <c r="B77" s="163" t="str">
        <f>IFERROR(VLOOKUP(C77,元件库!$B:$O,3,FALSE),"")</f>
        <v>铜排</v>
      </c>
      <c r="C77" s="164" t="s">
        <v>2326</v>
      </c>
      <c r="D77" s="165" t="str">
        <f>IFERROR(VLOOKUP(C77,元件库!$B:$O,2,FALSE),"")</f>
        <v>欣利铜材</v>
      </c>
      <c r="E77" s="166" t="str">
        <f t="shared" si="28"/>
        <v>米</v>
      </c>
      <c r="F77" s="166">
        <v>6</v>
      </c>
      <c r="G77" s="42">
        <f t="shared" si="29"/>
        <v>81.167999999999992</v>
      </c>
      <c r="H77" s="42">
        <f t="shared" si="30"/>
        <v>487.00799999999992</v>
      </c>
      <c r="I77" s="167"/>
      <c r="J77" s="168">
        <f t="shared" si="33"/>
        <v>1</v>
      </c>
      <c r="K77" s="169">
        <f t="shared" si="31"/>
        <v>81.167999999999992</v>
      </c>
      <c r="L77" s="170">
        <f>IFERROR(VLOOKUP(C77,元件库!$B:$O,10,FALSE),"1.00")</f>
        <v>1</v>
      </c>
      <c r="M77" s="171">
        <f>IFERROR(VLOOKUP(C77,元件库!$B:$O,11,FALSE),"")</f>
        <v>81.167999999999992</v>
      </c>
      <c r="N77" s="172" t="str">
        <f t="shared" ca="1" si="32"/>
        <v/>
      </c>
      <c r="P77" s="161"/>
    </row>
    <row r="78" spans="1:23" s="175" customFormat="1" ht="16.5" customHeight="1" x14ac:dyDescent="0.2">
      <c r="A78" s="38">
        <f>COUNTIF($J$1:J78,"!")</f>
        <v>5</v>
      </c>
      <c r="B78" s="163" t="s">
        <v>2171</v>
      </c>
      <c r="C78" s="164" t="s">
        <v>2225</v>
      </c>
      <c r="D78" s="165" t="str">
        <f>IFERROR(VLOOKUP(C78,元件库!$B:$O,2,FALSE),"")</f>
        <v>欣利铜材</v>
      </c>
      <c r="E78" s="166" t="str">
        <f t="shared" si="28"/>
        <v>米</v>
      </c>
      <c r="F78" s="166">
        <f>1*(MID(O78,FIND("-",O78)+1,FIND("*",O78)-FIND("-",O78)-1)/1000*IF(B78="水平排",3,1))</f>
        <v>2.4000000000000004</v>
      </c>
      <c r="G78" s="42">
        <f t="shared" si="29"/>
        <v>324.67199999999997</v>
      </c>
      <c r="H78" s="42">
        <f t="shared" si="30"/>
        <v>779.21280000000002</v>
      </c>
      <c r="I78" s="167"/>
      <c r="J78" s="168">
        <f t="shared" si="33"/>
        <v>1</v>
      </c>
      <c r="K78" s="169">
        <f t="shared" si="31"/>
        <v>324.67199999999997</v>
      </c>
      <c r="L78" s="170">
        <f>IFERROR(VLOOKUP(C78,元件库!$B:$O,10,FALSE),"1.00")</f>
        <v>1</v>
      </c>
      <c r="M78" s="171">
        <f>IFERROR(VLOOKUP(C78,元件库!$B:$O,11,FALSE),"")</f>
        <v>324.67199999999997</v>
      </c>
      <c r="N78" s="172" t="str">
        <f t="shared" ca="1" si="32"/>
        <v/>
      </c>
      <c r="O78" s="174" t="str">
        <f>O82</f>
        <v>GGD-800*600*2000</v>
      </c>
    </row>
    <row r="79" spans="1:23" s="175" customFormat="1" ht="16.5" customHeight="1" x14ac:dyDescent="0.2">
      <c r="A79" s="38">
        <f>COUNTIF($J$1:J79,"!")</f>
        <v>5</v>
      </c>
      <c r="B79" s="163" t="s">
        <v>2725</v>
      </c>
      <c r="C79" s="164" t="s">
        <v>1889</v>
      </c>
      <c r="D79" s="165" t="str">
        <f>IFERROR(VLOOKUP(C79,元件库!$B:$O,2,FALSE),"")</f>
        <v>欣利铜材</v>
      </c>
      <c r="E79" s="166" t="str">
        <f t="shared" si="28"/>
        <v>米</v>
      </c>
      <c r="F79" s="166">
        <f>1*(MID(O79,FIND("-",O79)+1,FIND("*",O79)-FIND("-",O79)-1)/1000*IF(B79="水平排",3,1))</f>
        <v>0.8</v>
      </c>
      <c r="G79" s="42">
        <f t="shared" si="29"/>
        <v>182.62799999999999</v>
      </c>
      <c r="H79" s="42">
        <f t="shared" si="30"/>
        <v>146.10239999999999</v>
      </c>
      <c r="I79" s="167"/>
      <c r="J79" s="168">
        <f t="shared" si="33"/>
        <v>1</v>
      </c>
      <c r="K79" s="169">
        <f t="shared" si="31"/>
        <v>182.62799999999999</v>
      </c>
      <c r="L79" s="170">
        <f>IFERROR(VLOOKUP(C79,元件库!$B:$O,10,FALSE),"1.00")</f>
        <v>1</v>
      </c>
      <c r="M79" s="171">
        <f>IFERROR(VLOOKUP(C79,元件库!$B:$O,11,FALSE),"")</f>
        <v>182.62799999999999</v>
      </c>
      <c r="N79" s="172" t="str">
        <f t="shared" ca="1" si="32"/>
        <v/>
      </c>
      <c r="O79" s="176" t="str">
        <f>O82</f>
        <v>GGD-800*600*2000</v>
      </c>
    </row>
    <row r="80" spans="1:23" s="175" customFormat="1" ht="16.5" customHeight="1" x14ac:dyDescent="0.2">
      <c r="A80" s="38">
        <f>COUNTIF($J$1:J80,"!")</f>
        <v>5</v>
      </c>
      <c r="B80" s="163" t="s">
        <v>2172</v>
      </c>
      <c r="C80" s="164" t="s">
        <v>1889</v>
      </c>
      <c r="D80" s="165" t="str">
        <f>IFERROR(VLOOKUP(C80,元件库!$B:$O,2,FALSE),"")</f>
        <v>欣利铜材</v>
      </c>
      <c r="E80" s="166" t="str">
        <f t="shared" si="28"/>
        <v>米</v>
      </c>
      <c r="F80" s="166">
        <f>1*(MID(O80,FIND("-",O80)+1,FIND("*",O80)-FIND("-",O80)-1)/1000*IF(B80="水平排",3,1))</f>
        <v>0.8</v>
      </c>
      <c r="G80" s="42">
        <f t="shared" si="29"/>
        <v>182.62799999999999</v>
      </c>
      <c r="H80" s="42">
        <f t="shared" si="30"/>
        <v>146.10239999999999</v>
      </c>
      <c r="I80" s="167"/>
      <c r="J80" s="168">
        <f t="shared" si="33"/>
        <v>1</v>
      </c>
      <c r="K80" s="169">
        <f t="shared" si="31"/>
        <v>182.62799999999999</v>
      </c>
      <c r="L80" s="170">
        <f>IFERROR(VLOOKUP(C80,元件库!$B:$O,10,FALSE),"1.00")</f>
        <v>1</v>
      </c>
      <c r="M80" s="171">
        <f>IFERROR(VLOOKUP(C80,元件库!$B:$O,11,FALSE),"")</f>
        <v>182.62799999999999</v>
      </c>
      <c r="N80" s="172" t="str">
        <f t="shared" ca="1" si="32"/>
        <v/>
      </c>
      <c r="O80" s="176" t="str">
        <f>O82</f>
        <v>GGD-800*600*2000</v>
      </c>
    </row>
    <row r="81" spans="1:19" ht="16.5" customHeight="1" x14ac:dyDescent="0.2">
      <c r="A81" s="38">
        <f>COUNTIF($J$1:J81,"!")</f>
        <v>5</v>
      </c>
      <c r="B81" s="177" t="s">
        <v>107</v>
      </c>
      <c r="C81" s="164"/>
      <c r="D81" s="166"/>
      <c r="E81" s="166"/>
      <c r="F81" s="166"/>
      <c r="G81" s="42"/>
      <c r="H81" s="42"/>
      <c r="I81" s="178">
        <f>SUM(H69:H81)</f>
        <v>8036.9855999999991</v>
      </c>
      <c r="J81" s="168"/>
      <c r="K81" s="169"/>
      <c r="L81" s="170"/>
      <c r="M81" s="171"/>
      <c r="O81" s="174"/>
      <c r="P81" s="162"/>
    </row>
    <row r="82" spans="1:19" ht="16.5" customHeight="1" x14ac:dyDescent="0.2">
      <c r="A82" s="38">
        <f>COUNTIF($J$1:J82,"!")</f>
        <v>5</v>
      </c>
      <c r="B82" s="179" t="s">
        <v>47</v>
      </c>
      <c r="C82" s="164"/>
      <c r="D82" s="166"/>
      <c r="E82" s="166"/>
      <c r="F82" s="166"/>
      <c r="G82" s="42"/>
      <c r="H82" s="42">
        <f>IFERROR(J82*K82,"")</f>
        <v>800</v>
      </c>
      <c r="I82" s="167"/>
      <c r="J82" s="168">
        <f>P$1</f>
        <v>1</v>
      </c>
      <c r="K82" s="169">
        <f>L82*M82</f>
        <v>800</v>
      </c>
      <c r="L82" s="170" t="str">
        <f>IFERROR(VLOOKUP(C82,元件库!$B:$O,10,FALSE),"1.00")</f>
        <v>1.00</v>
      </c>
      <c r="M82" s="171">
        <f>IF(B82="成套费",IF(ISNUMBER(FIND("GGD",O82)),800,IF(OR(ISNUMBER(FIND("GCS",O82)),ISNUMBER(FIND("GCK",O82)),ISNUMBER(FIND("MNS",O82))),1000,"")),IF(B82="辅件费",IF(VLOOKUP(A83,A$1:B82,2,FALSE)="低压电容柜",500,300),""))</f>
        <v>800</v>
      </c>
      <c r="O82" s="180" t="str">
        <f>C69</f>
        <v>GGD-800*600*2000</v>
      </c>
    </row>
    <row r="83" spans="1:19" s="161" customFormat="1" ht="16.5" customHeight="1" x14ac:dyDescent="0.2">
      <c r="A83" s="38">
        <f>COUNTIF($J$1:J83,"!")</f>
        <v>5</v>
      </c>
      <c r="B83" s="179" t="s">
        <v>49</v>
      </c>
      <c r="C83" s="164"/>
      <c r="D83" s="166"/>
      <c r="E83" s="166"/>
      <c r="F83" s="166"/>
      <c r="G83" s="42"/>
      <c r="H83" s="42">
        <f>IFERROR(J83*K83,"")</f>
        <v>500</v>
      </c>
      <c r="I83" s="167"/>
      <c r="J83" s="168">
        <f>P$1</f>
        <v>1</v>
      </c>
      <c r="K83" s="169">
        <f>L83*M83</f>
        <v>500</v>
      </c>
      <c r="L83" s="170" t="str">
        <f>IFERROR(VLOOKUP(C83,元件库!$B:$O,10,FALSE),"1.00")</f>
        <v>1.00</v>
      </c>
      <c r="M83" s="171">
        <f>IF(B83="成套费",IF(ISNUMBER(FIND("GGD",O83)),800,IF(OR(ISNUMBER(FIND("GCS",O83)),ISNUMBER(FIND("GCK",O83)),ISNUMBER(FIND("MNS",O83))),1000,"")),IF(B83="辅件费",IF(VLOOKUP(A83,A$1:B83,2,FALSE)="低压电容柜",500,300),""))</f>
        <v>500</v>
      </c>
      <c r="N83" s="181"/>
      <c r="O83" s="182" t="str">
        <f>O82</f>
        <v>GGD-800*600*2000</v>
      </c>
      <c r="R83" s="162"/>
      <c r="S83" s="162"/>
    </row>
    <row r="84" spans="1:19" s="161" customFormat="1" ht="16.5" customHeight="1" x14ac:dyDescent="0.2">
      <c r="A84" s="38">
        <f>COUNTIF($J$1:J84,"!")</f>
        <v>5</v>
      </c>
      <c r="B84" s="179" t="s">
        <v>79</v>
      </c>
      <c r="C84" s="164"/>
      <c r="D84" s="166"/>
      <c r="E84" s="166"/>
      <c r="F84" s="166"/>
      <c r="G84" s="42"/>
      <c r="H84" s="42">
        <f>K84*L84</f>
        <v>1120.4382719999999</v>
      </c>
      <c r="I84" s="167"/>
      <c r="J84" s="168"/>
      <c r="K84" s="169">
        <f>SUM(H81:H83)+I81</f>
        <v>9336.9856</v>
      </c>
      <c r="L84" s="279">
        <f>R$1</f>
        <v>0.12</v>
      </c>
      <c r="M84" s="171"/>
      <c r="N84" s="181"/>
      <c r="O84" s="162"/>
      <c r="R84" s="162"/>
      <c r="S84" s="162"/>
    </row>
    <row r="85" spans="1:19" ht="16.5" customHeight="1" x14ac:dyDescent="0.2">
      <c r="A85" s="38">
        <f>COUNTIF($J$1:J85,"!")</f>
        <v>5</v>
      </c>
      <c r="B85" s="179" t="s">
        <v>108</v>
      </c>
      <c r="C85" s="164"/>
      <c r="D85" s="166"/>
      <c r="E85" s="166"/>
      <c r="F85" s="166"/>
      <c r="G85" s="184"/>
      <c r="H85" s="42">
        <f>K85*L85</f>
        <v>313.72271615999995</v>
      </c>
      <c r="I85" s="167"/>
      <c r="J85" s="168"/>
      <c r="K85" s="169">
        <f>H84+K84</f>
        <v>10457.423871999999</v>
      </c>
      <c r="L85" s="279">
        <f>T$1</f>
        <v>0.03</v>
      </c>
      <c r="M85" s="171"/>
      <c r="O85" s="162"/>
    </row>
    <row r="86" spans="1:19" ht="16.5" customHeight="1" x14ac:dyDescent="0.15">
      <c r="A86" s="32">
        <f>COUNTIF($J$1:J86,"!")</f>
        <v>6</v>
      </c>
      <c r="B86" s="33" t="s">
        <v>2726</v>
      </c>
      <c r="C86" s="158" t="s">
        <v>3130</v>
      </c>
      <c r="D86" s="159" t="s">
        <v>1931</v>
      </c>
      <c r="E86" s="34" t="s">
        <v>23</v>
      </c>
      <c r="F86" s="159">
        <v>1</v>
      </c>
      <c r="G86" s="36">
        <f>ROUND(SUM(H87:H104),0)</f>
        <v>13142</v>
      </c>
      <c r="H86" s="160" t="str">
        <f>IF(ISNUMBER(FIND(" ",C87)),MID(C87,1,FIND(" ",C87)-1),IF(ISNUMBER(FIND("电容柜",B86)),"GGJ",MID(C87,1,FIND("-",C87)-1)))</f>
        <v>GGD</v>
      </c>
      <c r="I86" s="47" t="str">
        <f>MID(C87,IF(LEN(C87)-LEN(H86)&gt;3,LEN(H86)+2,1),30)</f>
        <v>800*600*2000</v>
      </c>
      <c r="J86" s="48" t="s">
        <v>24</v>
      </c>
      <c r="K86" s="49"/>
      <c r="L86" s="50"/>
      <c r="M86" s="51"/>
      <c r="O86" s="162"/>
    </row>
    <row r="87" spans="1:19" ht="16.5" customHeight="1" x14ac:dyDescent="0.2">
      <c r="A87" s="38">
        <f>COUNTIF($J$1:J87,"!")</f>
        <v>6</v>
      </c>
      <c r="B87" s="163" t="str">
        <f>IFERROR(VLOOKUP(C87,元件库!$B:$O,3,FALSE),"")</f>
        <v>壳体W*D*H</v>
      </c>
      <c r="C87" s="164" t="s">
        <v>2337</v>
      </c>
      <c r="D87" s="165" t="str">
        <f>IFERROR(VLOOKUP(C87,元件库!$B:$O,2,FALSE),"")</f>
        <v>精益联合集团</v>
      </c>
      <c r="E87" s="166" t="str">
        <f t="shared" ref="E87:E99" si="34">IF(D87="欣利铜材","米",IF(B87="熔断器","套","只"))</f>
        <v>只</v>
      </c>
      <c r="F87" s="166">
        <v>2</v>
      </c>
      <c r="G87" s="42">
        <f t="shared" ref="G87:G99" si="35">IFERROR(J87*K87,"")</f>
        <v>1550</v>
      </c>
      <c r="H87" s="42">
        <f t="shared" ref="H87:H99" si="36">IFERROR(G87*F87,"")</f>
        <v>3100</v>
      </c>
      <c r="I87" s="167"/>
      <c r="J87" s="168">
        <f>P$1</f>
        <v>1</v>
      </c>
      <c r="K87" s="169">
        <f t="shared" ref="K87:K99" si="37">IFERROR(M87*L87,"")</f>
        <v>1550</v>
      </c>
      <c r="L87" s="170">
        <f>IFERROR(VLOOKUP(C87,元件库!$B:$O,10,FALSE),"1.00")</f>
        <v>1</v>
      </c>
      <c r="M87" s="171">
        <f>IFERROR(VLOOKUP(C87,元件库!$B:$O,11,FALSE),"")</f>
        <v>1550</v>
      </c>
      <c r="N87" s="172" t="str">
        <f t="shared" ref="N87:N99" ca="1" si="38">IF(AND(ISNUMBER(FIND("IF",_xlfn.FORMULATEXT(L87))),ISNUMBER(FIND("IF",_xlfn.FORMULATEXT(M87)))),"","值")</f>
        <v/>
      </c>
      <c r="O87" s="157" t="str">
        <f>B86</f>
        <v>低压馈线柜</v>
      </c>
    </row>
    <row r="88" spans="1:19" s="173" customFormat="1" ht="16.5" customHeight="1" x14ac:dyDescent="0.2">
      <c r="A88" s="38">
        <f>COUNTIF($J$1:J88,"!")</f>
        <v>6</v>
      </c>
      <c r="B88" s="163" t="str">
        <f>IFERROR(VLOOKUP(C88,元件库!$B:$O,3,FALSE),"")</f>
        <v>刀开关</v>
      </c>
      <c r="C88" s="164" t="s">
        <v>3047</v>
      </c>
      <c r="D88" s="165" t="str">
        <f>IFERROR(VLOOKUP(C88,元件库!$B:$O,2,FALSE),"")</f>
        <v>精益联合集团</v>
      </c>
      <c r="E88" s="166" t="str">
        <f t="shared" si="34"/>
        <v>只</v>
      </c>
      <c r="F88" s="166">
        <v>2</v>
      </c>
      <c r="G88" s="42">
        <f t="shared" si="35"/>
        <v>324.5</v>
      </c>
      <c r="H88" s="42">
        <f t="shared" si="36"/>
        <v>649</v>
      </c>
      <c r="I88" s="167"/>
      <c r="J88" s="168">
        <f t="shared" ref="J88:J99" si="39">P$1</f>
        <v>1</v>
      </c>
      <c r="K88" s="169">
        <f t="shared" si="37"/>
        <v>324.5</v>
      </c>
      <c r="L88" s="170">
        <f>IFERROR(VLOOKUP(C88,元件库!$B:$O,10,FALSE),"1.00")</f>
        <v>0.55000000000000004</v>
      </c>
      <c r="M88" s="171">
        <f>IFERROR(VLOOKUP(C88,元件库!$B:$O,11,FALSE),"")</f>
        <v>590</v>
      </c>
      <c r="N88" s="172" t="str">
        <f t="shared" ca="1" si="38"/>
        <v/>
      </c>
      <c r="P88" s="161"/>
    </row>
    <row r="89" spans="1:19" s="173" customFormat="1" ht="16.5" customHeight="1" x14ac:dyDescent="0.2">
      <c r="A89" s="38">
        <f>COUNTIF($J$1:J89,"!")</f>
        <v>6</v>
      </c>
      <c r="B89" s="163" t="str">
        <f>IFERROR(VLOOKUP(C89,元件库!$B:$O,3,FALSE),"")</f>
        <v>塑壳断路器</v>
      </c>
      <c r="C89" s="164" t="s">
        <v>3131</v>
      </c>
      <c r="D89" s="165" t="str">
        <f>IFERROR(VLOOKUP(C89,元件库!$B:$O,2,FALSE),"")</f>
        <v>吉坤电气</v>
      </c>
      <c r="E89" s="166" t="str">
        <f t="shared" si="34"/>
        <v>只</v>
      </c>
      <c r="F89" s="166">
        <v>6</v>
      </c>
      <c r="G89" s="42">
        <f t="shared" si="35"/>
        <v>329</v>
      </c>
      <c r="H89" s="42">
        <f t="shared" si="36"/>
        <v>1974</v>
      </c>
      <c r="I89" s="167"/>
      <c r="J89" s="168">
        <f t="shared" si="39"/>
        <v>1</v>
      </c>
      <c r="K89" s="169">
        <f t="shared" si="37"/>
        <v>329</v>
      </c>
      <c r="L89" s="170">
        <f>IFERROR(VLOOKUP(C89,元件库!$B:$O,10,FALSE),"1.00")</f>
        <v>1</v>
      </c>
      <c r="M89" s="171">
        <f>IFERROR(VLOOKUP(C89,元件库!$B:$O,11,FALSE),"")</f>
        <v>329</v>
      </c>
      <c r="N89" s="172" t="str">
        <f t="shared" ca="1" si="38"/>
        <v/>
      </c>
      <c r="P89" s="161"/>
    </row>
    <row r="90" spans="1:19" s="173" customFormat="1" ht="16.5" customHeight="1" x14ac:dyDescent="0.2">
      <c r="A90" s="38">
        <f>COUNTIF($J$1:J90,"!")</f>
        <v>6</v>
      </c>
      <c r="B90" s="163" t="str">
        <f>IFERROR(VLOOKUP(C90,元件库!$B:$O,3,FALSE),"")</f>
        <v>塑壳断路器</v>
      </c>
      <c r="C90" s="164" t="s">
        <v>3132</v>
      </c>
      <c r="D90" s="165" t="str">
        <f>IFERROR(VLOOKUP(C90,元件库!$B:$O,2,FALSE),"")</f>
        <v>吉坤电气</v>
      </c>
      <c r="E90" s="166" t="str">
        <f t="shared" si="34"/>
        <v>只</v>
      </c>
      <c r="F90" s="166">
        <v>2</v>
      </c>
      <c r="G90" s="42">
        <f t="shared" si="35"/>
        <v>86</v>
      </c>
      <c r="H90" s="42">
        <f t="shared" si="36"/>
        <v>172</v>
      </c>
      <c r="I90" s="167"/>
      <c r="J90" s="168">
        <f t="shared" si="39"/>
        <v>1</v>
      </c>
      <c r="K90" s="169">
        <f t="shared" si="37"/>
        <v>86</v>
      </c>
      <c r="L90" s="170">
        <f>IFERROR(VLOOKUP(C90,元件库!$B:$O,10,FALSE),"1.00")</f>
        <v>1</v>
      </c>
      <c r="M90" s="171">
        <f>IFERROR(VLOOKUP(C90,元件库!$B:$O,11,FALSE),"")</f>
        <v>86</v>
      </c>
      <c r="N90" s="172" t="str">
        <f t="shared" ca="1" si="38"/>
        <v/>
      </c>
      <c r="P90" s="161"/>
    </row>
    <row r="91" spans="1:19" s="173" customFormat="1" ht="16.5" customHeight="1" x14ac:dyDescent="0.2">
      <c r="A91" s="38">
        <f>COUNTIF($J$1:J91,"!")</f>
        <v>6</v>
      </c>
      <c r="B91" s="163" t="str">
        <f>IFERROR(VLOOKUP(C91,元件库!$B:$O,3,FALSE),"")</f>
        <v/>
      </c>
      <c r="C91" s="164" t="s">
        <v>2143</v>
      </c>
      <c r="D91" s="165" t="str">
        <f>IFERROR(VLOOKUP(C91,元件库!$B:$O,2,FALSE),"")</f>
        <v/>
      </c>
      <c r="E91" s="166" t="str">
        <f t="shared" si="34"/>
        <v>只</v>
      </c>
      <c r="F91" s="166">
        <v>6</v>
      </c>
      <c r="G91" s="42" t="str">
        <f t="shared" si="35"/>
        <v/>
      </c>
      <c r="H91" s="42" t="str">
        <f t="shared" si="36"/>
        <v/>
      </c>
      <c r="I91" s="167"/>
      <c r="J91" s="168">
        <f t="shared" si="39"/>
        <v>1</v>
      </c>
      <c r="K91" s="169" t="str">
        <f t="shared" si="37"/>
        <v/>
      </c>
      <c r="L91" s="170" t="str">
        <f>IFERROR(VLOOKUP(C91,元件库!$B:$O,10,FALSE),"1.00")</f>
        <v>1.00</v>
      </c>
      <c r="M91" s="171" t="str">
        <f>IFERROR(VLOOKUP(C91,元件库!$B:$O,11,FALSE),"")</f>
        <v/>
      </c>
      <c r="N91" s="172" t="str">
        <f t="shared" ca="1" si="38"/>
        <v/>
      </c>
      <c r="P91" s="161"/>
    </row>
    <row r="92" spans="1:19" s="173" customFormat="1" ht="16.5" customHeight="1" x14ac:dyDescent="0.2">
      <c r="A92" s="38">
        <f>COUNTIF($J$1:J92,"!")</f>
        <v>6</v>
      </c>
      <c r="B92" s="163" t="str">
        <f>IFERROR(VLOOKUP(C92,元件库!$B:$O,3,FALSE),"")</f>
        <v>电流.电压表</v>
      </c>
      <c r="C92" s="164" t="s">
        <v>1899</v>
      </c>
      <c r="D92" s="165" t="str">
        <f>IFERROR(VLOOKUP(C92,元件库!$B:$O,2,FALSE),"")</f>
        <v>精益联合集团</v>
      </c>
      <c r="E92" s="166" t="str">
        <f t="shared" si="34"/>
        <v>只</v>
      </c>
      <c r="F92" s="166">
        <v>6</v>
      </c>
      <c r="G92" s="42">
        <f t="shared" si="35"/>
        <v>13.750000000000002</v>
      </c>
      <c r="H92" s="42">
        <f t="shared" si="36"/>
        <v>82.500000000000014</v>
      </c>
      <c r="I92" s="167"/>
      <c r="J92" s="168">
        <f t="shared" si="39"/>
        <v>1</v>
      </c>
      <c r="K92" s="169">
        <f t="shared" si="37"/>
        <v>13.750000000000002</v>
      </c>
      <c r="L92" s="170">
        <f>IFERROR(VLOOKUP(C92,元件库!$B:$O,10,FALSE),"1.00")</f>
        <v>0.55000000000000004</v>
      </c>
      <c r="M92" s="171">
        <f>IFERROR(VLOOKUP(C92,元件库!$B:$O,11,FALSE),"")</f>
        <v>25</v>
      </c>
      <c r="N92" s="172" t="str">
        <f t="shared" ca="1" si="38"/>
        <v/>
      </c>
      <c r="P92" s="161"/>
    </row>
    <row r="93" spans="1:19" s="173" customFormat="1" ht="16.5" customHeight="1" x14ac:dyDescent="0.2">
      <c r="A93" s="38">
        <f>COUNTIF($J$1:J93,"!")</f>
        <v>6</v>
      </c>
      <c r="B93" s="163" t="str">
        <f>IFERROR(VLOOKUP(C93,元件库!$B:$O,3,FALSE),"")</f>
        <v>指示灯</v>
      </c>
      <c r="C93" s="164" t="s">
        <v>3044</v>
      </c>
      <c r="D93" s="165" t="str">
        <f>IFERROR(VLOOKUP(C93,元件库!$B:$O,2,FALSE),"")</f>
        <v>精益联合集团</v>
      </c>
      <c r="E93" s="166" t="str">
        <f t="shared" si="34"/>
        <v>只</v>
      </c>
      <c r="F93" s="166">
        <v>8</v>
      </c>
      <c r="G93" s="42">
        <f t="shared" si="35"/>
        <v>2.3100000000000005</v>
      </c>
      <c r="H93" s="42">
        <f t="shared" si="36"/>
        <v>18.480000000000004</v>
      </c>
      <c r="I93" s="167"/>
      <c r="J93" s="168">
        <f t="shared" si="39"/>
        <v>1</v>
      </c>
      <c r="K93" s="169">
        <f t="shared" si="37"/>
        <v>2.3100000000000005</v>
      </c>
      <c r="L93" s="170">
        <f>IFERROR(VLOOKUP(C93,元件库!$B:$O,10,FALSE),"1.00")</f>
        <v>0.55000000000000004</v>
      </c>
      <c r="M93" s="171">
        <f>IFERROR(VLOOKUP(C93,元件库!$B:$O,11,FALSE),"")</f>
        <v>4.2</v>
      </c>
      <c r="N93" s="172" t="str">
        <f t="shared" ca="1" si="38"/>
        <v/>
      </c>
      <c r="P93" s="161"/>
    </row>
    <row r="94" spans="1:19" s="173" customFormat="1" ht="16.5" customHeight="1" x14ac:dyDescent="0.2">
      <c r="A94" s="38">
        <f>COUNTIF($J$1:J94,"!")</f>
        <v>6</v>
      </c>
      <c r="B94" s="163" t="str">
        <f>IFERROR(VLOOKUP(C94,元件库!$B:$O,3,FALSE),"")</f>
        <v>铜排</v>
      </c>
      <c r="C94" s="164" t="s">
        <v>2673</v>
      </c>
      <c r="D94" s="165" t="str">
        <f>IFERROR(VLOOKUP(C94,元件库!$B:$O,2,FALSE),"")</f>
        <v>欣利铜材</v>
      </c>
      <c r="E94" s="166" t="str">
        <f t="shared" si="34"/>
        <v>米</v>
      </c>
      <c r="F94" s="166">
        <v>12</v>
      </c>
      <c r="G94" s="42">
        <f t="shared" si="35"/>
        <v>126.82499999999999</v>
      </c>
      <c r="H94" s="42">
        <f t="shared" si="36"/>
        <v>1521.8999999999999</v>
      </c>
      <c r="I94" s="167"/>
      <c r="J94" s="168">
        <f t="shared" si="39"/>
        <v>1</v>
      </c>
      <c r="K94" s="169">
        <f t="shared" si="37"/>
        <v>126.82499999999999</v>
      </c>
      <c r="L94" s="170">
        <f>IFERROR(VLOOKUP(C94,元件库!$B:$O,10,FALSE),"1.00")</f>
        <v>1</v>
      </c>
      <c r="M94" s="171">
        <f>IFERROR(VLOOKUP(C94,元件库!$B:$O,11,FALSE),"")</f>
        <v>126.82499999999999</v>
      </c>
      <c r="N94" s="172" t="str">
        <f t="shared" ca="1" si="38"/>
        <v/>
      </c>
      <c r="P94" s="161"/>
    </row>
    <row r="95" spans="1:19" s="173" customFormat="1" ht="16.5" customHeight="1" x14ac:dyDescent="0.2">
      <c r="A95" s="38">
        <f>COUNTIF($J$1:J95,"!")</f>
        <v>6</v>
      </c>
      <c r="B95" s="163" t="str">
        <f>IFERROR(VLOOKUP(C95,元件库!$B:$O,3,FALSE),"")</f>
        <v>铜排</v>
      </c>
      <c r="C95" s="164" t="s">
        <v>1887</v>
      </c>
      <c r="D95" s="165" t="str">
        <f>IFERROR(VLOOKUP(C95,元件库!$B:$O,2,FALSE),"")</f>
        <v>欣利铜材</v>
      </c>
      <c r="E95" s="166" t="str">
        <f t="shared" si="34"/>
        <v>米</v>
      </c>
      <c r="F95" s="166">
        <v>7.2</v>
      </c>
      <c r="G95" s="42">
        <f t="shared" si="35"/>
        <v>76.094999999999999</v>
      </c>
      <c r="H95" s="42">
        <f t="shared" si="36"/>
        <v>547.88400000000001</v>
      </c>
      <c r="I95" s="167"/>
      <c r="J95" s="168">
        <f t="shared" si="39"/>
        <v>1</v>
      </c>
      <c r="K95" s="169">
        <f t="shared" si="37"/>
        <v>76.094999999999999</v>
      </c>
      <c r="L95" s="170">
        <f>IFERROR(VLOOKUP(C95,元件库!$B:$O,10,FALSE),"1.00")</f>
        <v>1</v>
      </c>
      <c r="M95" s="171">
        <f>IFERROR(VLOOKUP(C95,元件库!$B:$O,11,FALSE),"")</f>
        <v>76.094999999999999</v>
      </c>
      <c r="N95" s="172" t="str">
        <f t="shared" ca="1" si="38"/>
        <v/>
      </c>
      <c r="P95" s="161"/>
    </row>
    <row r="96" spans="1:19" s="173" customFormat="1" ht="16.5" customHeight="1" x14ac:dyDescent="0.2">
      <c r="A96" s="38">
        <f>COUNTIF($J$1:J96,"!")</f>
        <v>6</v>
      </c>
      <c r="B96" s="163" t="str">
        <f>IFERROR(VLOOKUP(C96,元件库!$B:$O,3,FALSE),"")</f>
        <v>铜排</v>
      </c>
      <c r="C96" s="164" t="s">
        <v>3049</v>
      </c>
      <c r="D96" s="165" t="str">
        <f>IFERROR(VLOOKUP(C96,元件库!$B:$O,2,FALSE),"")</f>
        <v>欣利铜材</v>
      </c>
      <c r="E96" s="166" t="str">
        <f t="shared" si="34"/>
        <v>米</v>
      </c>
      <c r="F96" s="166">
        <v>2.4</v>
      </c>
      <c r="G96" s="42">
        <f t="shared" si="35"/>
        <v>22.828499999999998</v>
      </c>
      <c r="H96" s="42">
        <f t="shared" si="36"/>
        <v>54.788399999999996</v>
      </c>
      <c r="I96" s="167"/>
      <c r="J96" s="168">
        <f t="shared" si="39"/>
        <v>1</v>
      </c>
      <c r="K96" s="169">
        <f t="shared" si="37"/>
        <v>22.828499999999998</v>
      </c>
      <c r="L96" s="170">
        <f>IFERROR(VLOOKUP(C96,元件库!$B:$O,10,FALSE),"1.00")</f>
        <v>1</v>
      </c>
      <c r="M96" s="171">
        <f>IFERROR(VLOOKUP(C96,元件库!$B:$O,11,FALSE),"")</f>
        <v>22.828499999999998</v>
      </c>
      <c r="N96" s="172" t="str">
        <f t="shared" ca="1" si="38"/>
        <v/>
      </c>
      <c r="P96" s="161"/>
    </row>
    <row r="97" spans="1:22" s="175" customFormat="1" ht="16.5" customHeight="1" x14ac:dyDescent="0.2">
      <c r="A97" s="38">
        <f>COUNTIF($J$1:J97,"!")</f>
        <v>6</v>
      </c>
      <c r="B97" s="163" t="s">
        <v>2171</v>
      </c>
      <c r="C97" s="164" t="s">
        <v>2225</v>
      </c>
      <c r="D97" s="165" t="str">
        <f>IFERROR(VLOOKUP(C97,元件库!$B:$O,2,FALSE),"")</f>
        <v>欣利铜材</v>
      </c>
      <c r="E97" s="166" t="str">
        <f t="shared" si="34"/>
        <v>米</v>
      </c>
      <c r="F97" s="166">
        <f>1*(MID(O97,FIND("-",O97)+1,FIND("*",O97)-FIND("-",O97)-1)/1000*IF(B97="水平排",3,1)+IF(AND(B97="零母排",VLOOKUP(A97,A$1:B94,2,FALSE)="低压进线柜"),1.5,0))</f>
        <v>2.4000000000000004</v>
      </c>
      <c r="G97" s="42">
        <f t="shared" si="35"/>
        <v>324.67199999999997</v>
      </c>
      <c r="H97" s="42">
        <f t="shared" si="36"/>
        <v>779.21280000000002</v>
      </c>
      <c r="I97" s="167"/>
      <c r="J97" s="168">
        <f t="shared" si="39"/>
        <v>1</v>
      </c>
      <c r="K97" s="169">
        <f t="shared" si="37"/>
        <v>324.67199999999997</v>
      </c>
      <c r="L97" s="170">
        <f>IFERROR(VLOOKUP(C97,元件库!$B:$O,10,FALSE),"1.00")</f>
        <v>1</v>
      </c>
      <c r="M97" s="171">
        <f>IFERROR(VLOOKUP(C97,元件库!$B:$O,11,FALSE),"")</f>
        <v>324.67199999999997</v>
      </c>
      <c r="N97" s="172" t="str">
        <f t="shared" ca="1" si="38"/>
        <v/>
      </c>
      <c r="O97" s="174" t="str">
        <f>O101</f>
        <v>GGD-800*600*2000</v>
      </c>
    </row>
    <row r="98" spans="1:22" s="175" customFormat="1" ht="16.5" customHeight="1" x14ac:dyDescent="0.2">
      <c r="A98" s="38">
        <f>COUNTIF($J$1:J98,"!")</f>
        <v>6</v>
      </c>
      <c r="B98" s="163" t="s">
        <v>2725</v>
      </c>
      <c r="C98" s="164" t="s">
        <v>1889</v>
      </c>
      <c r="D98" s="165" t="str">
        <f>IFERROR(VLOOKUP(C98,元件库!$B:$O,2,FALSE),"")</f>
        <v>欣利铜材</v>
      </c>
      <c r="E98" s="166" t="str">
        <f t="shared" si="34"/>
        <v>米</v>
      </c>
      <c r="F98" s="166">
        <f>1*(MID(O98,FIND("-",O98)+1,FIND("*",O98)-FIND("-",O98)-1)/1000*IF(B98="水平排",3,1)+IF(AND(B98="零母排",VLOOKUP(A98,A$1:B95,2,FALSE)="低压进线柜"),1.5,0))</f>
        <v>0.8</v>
      </c>
      <c r="G98" s="42">
        <f t="shared" si="35"/>
        <v>182.62799999999999</v>
      </c>
      <c r="H98" s="42">
        <f t="shared" si="36"/>
        <v>146.10239999999999</v>
      </c>
      <c r="I98" s="167"/>
      <c r="J98" s="168">
        <f t="shared" si="39"/>
        <v>1</v>
      </c>
      <c r="K98" s="169">
        <f t="shared" si="37"/>
        <v>182.62799999999999</v>
      </c>
      <c r="L98" s="170">
        <f>IFERROR(VLOOKUP(C98,元件库!$B:$O,10,FALSE),"1.00")</f>
        <v>1</v>
      </c>
      <c r="M98" s="171">
        <f>IFERROR(VLOOKUP(C98,元件库!$B:$O,11,FALSE),"")</f>
        <v>182.62799999999999</v>
      </c>
      <c r="N98" s="172" t="str">
        <f t="shared" ca="1" si="38"/>
        <v/>
      </c>
      <c r="O98" s="176" t="str">
        <f>O101</f>
        <v>GGD-800*600*2000</v>
      </c>
    </row>
    <row r="99" spans="1:22" s="175" customFormat="1" ht="16.5" customHeight="1" x14ac:dyDescent="0.2">
      <c r="A99" s="38">
        <f>COUNTIF($J$1:J99,"!")</f>
        <v>6</v>
      </c>
      <c r="B99" s="163" t="s">
        <v>2172</v>
      </c>
      <c r="C99" s="164" t="s">
        <v>1889</v>
      </c>
      <c r="D99" s="165" t="str">
        <f>IFERROR(VLOOKUP(C99,元件库!$B:$O,2,FALSE),"")</f>
        <v>欣利铜材</v>
      </c>
      <c r="E99" s="166" t="str">
        <f t="shared" si="34"/>
        <v>米</v>
      </c>
      <c r="F99" s="166">
        <f>1*(MID(O99,FIND("-",O99)+1,FIND("*",O99)-FIND("-",O99)-1)/1000*IF(B99="水平排",3,1))</f>
        <v>0.8</v>
      </c>
      <c r="G99" s="42">
        <f t="shared" si="35"/>
        <v>182.62799999999999</v>
      </c>
      <c r="H99" s="42">
        <f t="shared" si="36"/>
        <v>146.10239999999999</v>
      </c>
      <c r="I99" s="167"/>
      <c r="J99" s="168">
        <f t="shared" si="39"/>
        <v>1</v>
      </c>
      <c r="K99" s="169">
        <f t="shared" si="37"/>
        <v>182.62799999999999</v>
      </c>
      <c r="L99" s="170">
        <f>IFERROR(VLOOKUP(C99,元件库!$B:$O,10,FALSE),"1.00")</f>
        <v>1</v>
      </c>
      <c r="M99" s="171">
        <f>IFERROR(VLOOKUP(C99,元件库!$B:$O,11,FALSE),"")</f>
        <v>182.62799999999999</v>
      </c>
      <c r="N99" s="172" t="str">
        <f t="shared" ca="1" si="38"/>
        <v/>
      </c>
      <c r="O99" s="176" t="str">
        <f>O101</f>
        <v>GGD-800*600*2000</v>
      </c>
    </row>
    <row r="100" spans="1:22" ht="16.5" customHeight="1" x14ac:dyDescent="0.2">
      <c r="A100" s="38">
        <f>COUNTIF($J$1:J100,"!")</f>
        <v>6</v>
      </c>
      <c r="B100" s="177" t="s">
        <v>107</v>
      </c>
      <c r="C100" s="164"/>
      <c r="D100" s="166"/>
      <c r="E100" s="166"/>
      <c r="F100" s="166"/>
      <c r="G100" s="42"/>
      <c r="H100" s="42"/>
      <c r="I100" s="178">
        <f>SUM(H87:H100)</f>
        <v>9191.9699999999993</v>
      </c>
      <c r="J100" s="168"/>
      <c r="K100" s="169"/>
      <c r="L100" s="170"/>
      <c r="M100" s="171"/>
      <c r="O100" s="174"/>
      <c r="P100" s="162"/>
    </row>
    <row r="101" spans="1:22" ht="16.5" customHeight="1" x14ac:dyDescent="0.2">
      <c r="A101" s="38">
        <f>COUNTIF($J$1:J101,"!")</f>
        <v>6</v>
      </c>
      <c r="B101" s="179" t="s">
        <v>47</v>
      </c>
      <c r="C101" s="164"/>
      <c r="D101" s="166"/>
      <c r="E101" s="166"/>
      <c r="F101" s="166"/>
      <c r="G101" s="42"/>
      <c r="H101" s="42">
        <f>IFERROR(J101*K101,"")</f>
        <v>1600</v>
      </c>
      <c r="I101" s="167"/>
      <c r="J101" s="168">
        <f>P$1</f>
        <v>1</v>
      </c>
      <c r="K101" s="169">
        <f>L101*M101</f>
        <v>1600</v>
      </c>
      <c r="L101" s="170">
        <v>2</v>
      </c>
      <c r="M101" s="171">
        <f>IF(B101="成套费",IF(ISNUMBER(FIND("GGD",O101)),800,IF(OR(ISNUMBER(FIND("GCS",O101)),ISNUMBER(FIND("GCK",O101)),ISNUMBER(FIND("MNS",O101))),1000,"")),IF(B101="辅件费",IF(VLOOKUP(A102,A$1:B101,2,FALSE)="低压电容柜",500,300),""))</f>
        <v>800</v>
      </c>
      <c r="O101" s="180" t="str">
        <f>C87</f>
        <v>GGD-800*600*2000</v>
      </c>
    </row>
    <row r="102" spans="1:22" s="161" customFormat="1" ht="16.5" customHeight="1" x14ac:dyDescent="0.2">
      <c r="A102" s="38">
        <f>COUNTIF($J$1:J102,"!")</f>
        <v>6</v>
      </c>
      <c r="B102" s="179" t="s">
        <v>49</v>
      </c>
      <c r="C102" s="164"/>
      <c r="D102" s="166"/>
      <c r="E102" s="166"/>
      <c r="F102" s="166"/>
      <c r="G102" s="42"/>
      <c r="H102" s="42">
        <f>IFERROR(J102*K102,"")</f>
        <v>600</v>
      </c>
      <c r="I102" s="167"/>
      <c r="J102" s="168">
        <f>P$1</f>
        <v>1</v>
      </c>
      <c r="K102" s="169">
        <f>L102*M102</f>
        <v>600</v>
      </c>
      <c r="L102" s="170">
        <v>2</v>
      </c>
      <c r="M102" s="171">
        <f>IF(B102="成套费",IF(ISNUMBER(FIND("GGD",O102)),800,IF(OR(ISNUMBER(FIND("GCS",O102)),ISNUMBER(FIND("GCK",O102)),ISNUMBER(FIND("MNS",O102))),1000,"")),IF(B102="辅件费",IF(VLOOKUP(A102,A$1:B102,2,FALSE)="低压电容柜",500,300),""))</f>
        <v>300</v>
      </c>
      <c r="N102" s="181"/>
      <c r="O102" s="182" t="str">
        <f>O101</f>
        <v>GGD-800*600*2000</v>
      </c>
      <c r="R102" s="162"/>
      <c r="S102" s="162"/>
    </row>
    <row r="103" spans="1:22" s="161" customFormat="1" ht="16.5" customHeight="1" x14ac:dyDescent="0.2">
      <c r="A103" s="38">
        <f>COUNTIF($J$1:J103,"!")</f>
        <v>6</v>
      </c>
      <c r="B103" s="179" t="s">
        <v>79</v>
      </c>
      <c r="C103" s="164"/>
      <c r="D103" s="166"/>
      <c r="E103" s="166"/>
      <c r="F103" s="166"/>
      <c r="G103" s="42"/>
      <c r="H103" s="42">
        <f>K103*L103</f>
        <v>1367.0364</v>
      </c>
      <c r="I103" s="167"/>
      <c r="J103" s="168"/>
      <c r="K103" s="169">
        <f>SUM(H100:H102)+I100</f>
        <v>11391.97</v>
      </c>
      <c r="L103" s="279">
        <f>R$1</f>
        <v>0.12</v>
      </c>
      <c r="M103" s="171"/>
      <c r="N103" s="181"/>
      <c r="O103" s="162"/>
      <c r="R103" s="162"/>
      <c r="S103" s="162"/>
    </row>
    <row r="104" spans="1:22" ht="16.5" customHeight="1" x14ac:dyDescent="0.2">
      <c r="A104" s="38">
        <f>COUNTIF($J$1:J104,"!")</f>
        <v>6</v>
      </c>
      <c r="B104" s="179" t="s">
        <v>108</v>
      </c>
      <c r="C104" s="164"/>
      <c r="D104" s="166"/>
      <c r="E104" s="166"/>
      <c r="F104" s="166"/>
      <c r="G104" s="184"/>
      <c r="H104" s="42">
        <f>K104*L104</f>
        <v>382.77019199999995</v>
      </c>
      <c r="I104" s="167"/>
      <c r="J104" s="168"/>
      <c r="K104" s="169">
        <f>H103+K103</f>
        <v>12759.006399999998</v>
      </c>
      <c r="L104" s="279">
        <f>T$1</f>
        <v>0.03</v>
      </c>
      <c r="M104" s="171"/>
      <c r="O104" s="162"/>
    </row>
    <row r="105" spans="1:22" ht="16.5" customHeight="1" x14ac:dyDescent="0.15">
      <c r="A105" s="32">
        <f>COUNTIF($J$1:J105,"!")</f>
        <v>7</v>
      </c>
      <c r="B105" s="33" t="s">
        <v>159</v>
      </c>
      <c r="C105" s="277" t="str">
        <f>LOOKUP(0,0/((RIGHT(B45:B105,3)="变压器")*(D45:D105=D105)),N45:N105)&amp;"10/0.4"</f>
        <v>630KVA 10/0.4</v>
      </c>
      <c r="D105" s="159" t="s">
        <v>1931</v>
      </c>
      <c r="E105" s="34" t="s">
        <v>23</v>
      </c>
      <c r="F105" s="159">
        <v>1</v>
      </c>
      <c r="G105" s="36">
        <f>ROUND(SUM(H106:H114),0)</f>
        <v>24720</v>
      </c>
      <c r="H105" s="160" t="str">
        <f>IF(ISNUMBER(FIND(" ",C106)),MID(C106,1,FIND(" ",C106)-1),IF(ISNUMBER(FIND("电容柜",B105)),"GGJ",MID(C106,1,FIND("-",C106)-1)))</f>
        <v>YBP</v>
      </c>
      <c r="I105" s="47" t="str">
        <f>MID(C106,IF(LEN(C106)-LEN(H105)&gt;3,LEN(H105)+2,1),30)</f>
        <v>4000*2300*2650</v>
      </c>
      <c r="J105" s="48" t="s">
        <v>24</v>
      </c>
      <c r="K105" s="49"/>
      <c r="L105" s="50"/>
      <c r="M105" s="51"/>
      <c r="O105" s="297"/>
      <c r="P105" s="161">
        <v>1650</v>
      </c>
      <c r="Q105" s="162">
        <v>2900</v>
      </c>
      <c r="R105" s="157">
        <v>1900</v>
      </c>
      <c r="S105" s="162">
        <v>1850</v>
      </c>
      <c r="T105" s="157">
        <v>3000</v>
      </c>
      <c r="U105" s="157">
        <v>2400</v>
      </c>
      <c r="V105" s="157">
        <v>3600</v>
      </c>
    </row>
    <row r="106" spans="1:22" ht="16.5" customHeight="1" x14ac:dyDescent="0.2">
      <c r="A106" s="38">
        <f>COUNTIF($J$1:J106,"!")</f>
        <v>7</v>
      </c>
      <c r="B106" s="163" t="s">
        <v>25</v>
      </c>
      <c r="C106" s="164" t="s">
        <v>3133</v>
      </c>
      <c r="D106" s="165" t="s">
        <v>3242</v>
      </c>
      <c r="E106" s="166" t="s">
        <v>29</v>
      </c>
      <c r="F106" s="166">
        <v>1</v>
      </c>
      <c r="G106" s="42">
        <f>IFERROR(J106*K106,"")</f>
        <v>14420.999999999998</v>
      </c>
      <c r="H106" s="42">
        <f>IFERROR(G106*F106,"")</f>
        <v>14420.999999999998</v>
      </c>
      <c r="I106" s="167"/>
      <c r="J106" s="168">
        <f>P$1</f>
        <v>1</v>
      </c>
      <c r="K106" s="169">
        <f>IFERROR(M106*L106,"")</f>
        <v>14420.999999999998</v>
      </c>
      <c r="L106" s="170">
        <v>0.95</v>
      </c>
      <c r="M106" s="171">
        <f>IFERROR(Q106*R106,"")</f>
        <v>15179.999999999998</v>
      </c>
      <c r="N106" s="172" t="str">
        <f ca="1">IF(AND(ISNUMBER(FIND("IF",_xlfn.FORMULATEXT(L106))),ISNUMBER(FIND("IF",_xlfn.FORMULATEXT(M106)))),"","值")</f>
        <v>值</v>
      </c>
      <c r="O106" s="174" t="str">
        <f>O110</f>
        <v>YBP-4000*2300*2650</v>
      </c>
      <c r="P106" s="157" t="s">
        <v>2209</v>
      </c>
      <c r="Q106" s="300">
        <f>IF(P106=304,V105,IF(P106=201,T105,IF(P106="彩钢板",P105,IF(P106="敷铝锌贴木条",Q105,IF(P106="金属雕花",U105,IF(P106="GRC",R105,IF(P106="水泥变",S105,)))))))</f>
        <v>1650</v>
      </c>
      <c r="R106" s="161">
        <f>(MID(C106,FIND("-",C106)+1,FIND("*",C106)-FIND("-",C106)-1)*MID(C106,FIND("*",C106)+1,FIND("*",MID(C106,FIND("*",C106)+1,30))-1))/1000000*IF(ROUND(RIGHT(C106,4),0)&gt;2650,1/2.65*2.95,1)</f>
        <v>9.1999999999999993</v>
      </c>
    </row>
    <row r="107" spans="1:22" s="175" customFormat="1" ht="16.5" customHeight="1" x14ac:dyDescent="0.2">
      <c r="A107" s="38">
        <f>COUNTIF($J$1:J107,"!")</f>
        <v>7</v>
      </c>
      <c r="B107" s="163" t="str">
        <f>IFERROR(VLOOKUP(C107,元件库!$B:$O,3,FALSE),"")</f>
        <v>铜排</v>
      </c>
      <c r="C107" s="164" t="s">
        <v>1889</v>
      </c>
      <c r="D107" s="165" t="str">
        <f>IFERROR(VLOOKUP(C107,元件库!$B:$O,2,FALSE),"")</f>
        <v>欣利铜材</v>
      </c>
      <c r="E107" s="166" t="str">
        <f>IF(D107="欣利铜材","米",IF(B107="氧化锌避雷器","组","只"))</f>
        <v>米</v>
      </c>
      <c r="F107" s="166">
        <v>8</v>
      </c>
      <c r="G107" s="42">
        <f>IFERROR(J107*K107,"")</f>
        <v>182.62799999999999</v>
      </c>
      <c r="H107" s="42">
        <f>IFERROR(G107*F107,"")</f>
        <v>1461.0239999999999</v>
      </c>
      <c r="I107" s="167"/>
      <c r="J107" s="168">
        <f>P$1</f>
        <v>1</v>
      </c>
      <c r="K107" s="169">
        <f>IFERROR(M107*L107,"")</f>
        <v>182.62799999999999</v>
      </c>
      <c r="L107" s="170">
        <f>IFERROR(VLOOKUP(C107,元件库!$B:$O,10,FALSE),"1.00")</f>
        <v>1</v>
      </c>
      <c r="M107" s="171">
        <f>IFERROR(VLOOKUP(C107,元件库!$B:$O,11,FALSE),"")</f>
        <v>182.62799999999999</v>
      </c>
      <c r="N107" s="172" t="str">
        <f ca="1">IF(AND(ISNUMBER(FIND("IF",_xlfn.FORMULATEXT(L107))),ISNUMBER(FIND("IF",_xlfn.FORMULATEXT(M107)))),"","值")</f>
        <v/>
      </c>
      <c r="O107" s="174" t="str">
        <f>O110</f>
        <v>YBP-4000*2300*2650</v>
      </c>
    </row>
    <row r="108" spans="1:22" s="173" customFormat="1" ht="16.5" customHeight="1" x14ac:dyDescent="0.2">
      <c r="A108" s="38">
        <f>COUNTIF($J$1:J108,"!")</f>
        <v>7</v>
      </c>
      <c r="B108" s="163" t="str">
        <f>IFERROR(VLOOKUP(C108,元件库!$B:$O,3,FALSE),"")</f>
        <v>铜排</v>
      </c>
      <c r="C108" s="164" t="s">
        <v>2225</v>
      </c>
      <c r="D108" s="165" t="str">
        <f>IFERROR(VLOOKUP(C108,元件库!$B:$O,2,FALSE),"")</f>
        <v>欣利铜材</v>
      </c>
      <c r="E108" s="166" t="s">
        <v>39</v>
      </c>
      <c r="F108" s="166">
        <v>10</v>
      </c>
      <c r="G108" s="42">
        <f>IFERROR(J108*K108,"")</f>
        <v>324.67199999999997</v>
      </c>
      <c r="H108" s="42">
        <f>IFERROR(G108*F108,"")</f>
        <v>3246.72</v>
      </c>
      <c r="I108" s="167"/>
      <c r="J108" s="168">
        <f>P$1</f>
        <v>1</v>
      </c>
      <c r="K108" s="169">
        <f>IFERROR(M108*L108,"")</f>
        <v>324.67199999999997</v>
      </c>
      <c r="L108" s="170">
        <f>IFERROR(VLOOKUP(C108,元件库!$B:$O,10,FALSE),"1.00")</f>
        <v>1</v>
      </c>
      <c r="M108" s="171">
        <f>IFERROR(VLOOKUP(C108,元件库!$B:$O,11,FALSE),"")</f>
        <v>324.67199999999997</v>
      </c>
      <c r="N108" s="172" t="str">
        <f ca="1">IF(AND(ISNUMBER(FIND("IF",_xlfn.FORMULATEXT(L108))),ISNUMBER(FIND("IF",_xlfn.FORMULATEXT(M108)))),"","值")</f>
        <v/>
      </c>
      <c r="O108" s="174" t="str">
        <f>O110</f>
        <v>YBP-4000*2300*2650</v>
      </c>
      <c r="P108" s="161"/>
    </row>
    <row r="109" spans="1:22" ht="16.5" customHeight="1" x14ac:dyDescent="0.2">
      <c r="A109" s="38">
        <f>COUNTIF($J$1:J109,"!")</f>
        <v>7</v>
      </c>
      <c r="B109" s="177" t="s">
        <v>107</v>
      </c>
      <c r="C109" s="164"/>
      <c r="D109" s="166"/>
      <c r="E109" s="166"/>
      <c r="F109" s="166"/>
      <c r="G109" s="42"/>
      <c r="H109" s="42"/>
      <c r="I109" s="178">
        <f>SUM(H106:H109)</f>
        <v>19128.743999999999</v>
      </c>
      <c r="J109" s="168"/>
      <c r="K109" s="169"/>
      <c r="L109" s="170"/>
      <c r="M109" s="171"/>
      <c r="O109" s="174"/>
      <c r="P109" s="162"/>
      <c r="Q109" s="157"/>
    </row>
    <row r="110" spans="1:22" ht="16.5" customHeight="1" x14ac:dyDescent="0.2">
      <c r="A110" s="38">
        <f>COUNTIF($J$1:J110,"!")</f>
        <v>7</v>
      </c>
      <c r="B110" s="179" t="s">
        <v>47</v>
      </c>
      <c r="C110" s="164"/>
      <c r="D110" s="166"/>
      <c r="E110" s="166"/>
      <c r="F110" s="166"/>
      <c r="G110" s="42"/>
      <c r="H110" s="42">
        <f>IFERROR(J110*K110*L110,"")</f>
        <v>1500</v>
      </c>
      <c r="I110" s="167"/>
      <c r="J110" s="168">
        <f>P$1</f>
        <v>1</v>
      </c>
      <c r="K110" s="169">
        <f>IFERROR(M110*L110,"")</f>
        <v>1500</v>
      </c>
      <c r="L110" s="170" t="str">
        <f>IFERROR(VLOOKUP(C110,元件库!$B:$O,10,FALSE),"1.00")</f>
        <v>1.00</v>
      </c>
      <c r="M110" s="171">
        <v>1500</v>
      </c>
      <c r="O110" s="174" t="str">
        <f>LOOKUP(0,0/((A105:A109=A110)*(B105:B109="壳体W*D*H")),C105:C109)</f>
        <v>YBP-4000*2300*2650</v>
      </c>
    </row>
    <row r="111" spans="1:22" s="161" customFormat="1" ht="16.5" customHeight="1" x14ac:dyDescent="0.2">
      <c r="A111" s="38">
        <f>COUNTIF($J$1:J111,"!")</f>
        <v>7</v>
      </c>
      <c r="B111" s="179" t="s">
        <v>49</v>
      </c>
      <c r="C111" s="164"/>
      <c r="D111" s="166"/>
      <c r="E111" s="166"/>
      <c r="F111" s="166"/>
      <c r="G111" s="42"/>
      <c r="H111" s="42">
        <f>IFERROR(J111*K111*L111,"")</f>
        <v>500</v>
      </c>
      <c r="I111" s="167"/>
      <c r="J111" s="168">
        <f>P$1</f>
        <v>1</v>
      </c>
      <c r="K111" s="169">
        <f>IFERROR(M111*L111,"")</f>
        <v>500</v>
      </c>
      <c r="L111" s="170" t="str">
        <f>IFERROR(VLOOKUP(C111,元件库!$B:$O,10,FALSE),"1.00")</f>
        <v>1.00</v>
      </c>
      <c r="M111" s="171">
        <v>500</v>
      </c>
      <c r="N111" s="181"/>
      <c r="O111" s="174" t="str">
        <f>O110</f>
        <v>YBP-4000*2300*2650</v>
      </c>
      <c r="Q111" s="162"/>
      <c r="R111" s="162"/>
      <c r="S111" s="162"/>
    </row>
    <row r="112" spans="1:22" s="161" customFormat="1" ht="16.5" customHeight="1" x14ac:dyDescent="0.2">
      <c r="A112" s="38">
        <f>COUNTIF($J$1:J112,"!")</f>
        <v>7</v>
      </c>
      <c r="B112" s="179" t="s">
        <v>50</v>
      </c>
      <c r="C112" s="164"/>
      <c r="D112" s="166"/>
      <c r="E112" s="166"/>
      <c r="F112" s="166"/>
      <c r="G112" s="42"/>
      <c r="H112" s="42">
        <f>IFERROR(J112*K112*L112,"")</f>
        <v>300</v>
      </c>
      <c r="I112" s="167"/>
      <c r="J112" s="168">
        <f>P$1</f>
        <v>1</v>
      </c>
      <c r="K112" s="169">
        <f>IFERROR(M112*L112,"")</f>
        <v>300</v>
      </c>
      <c r="L112" s="170" t="str">
        <f>IFERROR(VLOOKUP(C112,元件库!$B:$O,10,FALSE),"1.00")</f>
        <v>1.00</v>
      </c>
      <c r="M112" s="171">
        <v>300</v>
      </c>
      <c r="N112" s="181"/>
      <c r="O112" s="174"/>
      <c r="Q112" s="162"/>
      <c r="R112" s="162"/>
      <c r="S112" s="162"/>
    </row>
    <row r="113" spans="1:23" s="161" customFormat="1" ht="16.5" customHeight="1" x14ac:dyDescent="0.2">
      <c r="A113" s="38">
        <f>COUNTIF($J$1:J113,"!")</f>
        <v>7</v>
      </c>
      <c r="B113" s="179" t="s">
        <v>79</v>
      </c>
      <c r="C113" s="164"/>
      <c r="D113" s="166"/>
      <c r="E113" s="166"/>
      <c r="F113" s="166"/>
      <c r="G113" s="42"/>
      <c r="H113" s="42">
        <f>K113*L113</f>
        <v>2571.4492799999998</v>
      </c>
      <c r="I113" s="167"/>
      <c r="J113" s="168"/>
      <c r="K113" s="169">
        <f>SUM(H110:H112)+I109</f>
        <v>21428.743999999999</v>
      </c>
      <c r="L113" s="279">
        <f>R$1</f>
        <v>0.12</v>
      </c>
      <c r="M113" s="171"/>
      <c r="N113" s="181"/>
      <c r="O113" s="174"/>
      <c r="Q113" s="162"/>
      <c r="R113" s="162"/>
      <c r="S113" s="162"/>
    </row>
    <row r="114" spans="1:23" ht="16.5" customHeight="1" x14ac:dyDescent="0.2">
      <c r="A114" s="38">
        <f>COUNTIF($J$1:J114,"!")</f>
        <v>7</v>
      </c>
      <c r="B114" s="179" t="s">
        <v>108</v>
      </c>
      <c r="C114" s="164"/>
      <c r="D114" s="166"/>
      <c r="E114" s="166"/>
      <c r="F114" s="166"/>
      <c r="G114" s="184"/>
      <c r="H114" s="42">
        <f>K114*L114</f>
        <v>720.0057984</v>
      </c>
      <c r="I114" s="167"/>
      <c r="J114" s="168"/>
      <c r="K114" s="169">
        <f>H113+K113</f>
        <v>24000.19328</v>
      </c>
      <c r="L114" s="279">
        <f>T$1</f>
        <v>0.03</v>
      </c>
      <c r="M114" s="171"/>
    </row>
    <row r="115" spans="1:23" s="162" customFormat="1" ht="16.5" customHeight="1" x14ac:dyDescent="0.15">
      <c r="A115" s="32">
        <f>COUNTIF($J$1:J115,"!")</f>
        <v>8</v>
      </c>
      <c r="B115" s="33" t="s">
        <v>1895</v>
      </c>
      <c r="C115" s="296" t="s">
        <v>3134</v>
      </c>
      <c r="D115" s="159" t="s">
        <v>2335</v>
      </c>
      <c r="E115" s="34" t="s">
        <v>23</v>
      </c>
      <c r="F115" s="159">
        <v>1</v>
      </c>
      <c r="G115" s="36">
        <f>ROUND(SUM(H116:H137),0)</f>
        <v>7552</v>
      </c>
      <c r="H115" s="160" t="str">
        <f>IF(ISNUMBER(FIND(" ",C116)),MID(C116,1,FIND(" ",C116)-1),IF(ISNUMBER(FIND("电容柜",B115)),"GGJ",MID(C116,1,FIND("-",C116)-1)))</f>
        <v>HXGN</v>
      </c>
      <c r="I115" s="47" t="str">
        <f>MID(C116,IF(LEN(C116)-LEN(H115)&gt;3,LEN(H115)+2,1),30)</f>
        <v>500*900*2000</v>
      </c>
      <c r="J115" s="48" t="s">
        <v>24</v>
      </c>
      <c r="K115" s="49"/>
      <c r="L115" s="50"/>
      <c r="M115" s="51"/>
      <c r="N115" s="172"/>
      <c r="O115" s="161"/>
    </row>
    <row r="116" spans="1:23" s="162" customFormat="1" ht="16.5" customHeight="1" x14ac:dyDescent="0.2">
      <c r="A116" s="38">
        <f>COUNTIF($J$1:J116,"!")</f>
        <v>8</v>
      </c>
      <c r="B116" s="163" t="str">
        <f>IFERROR(VLOOKUP(C116,元件库!$B:$O,3,FALSE),"")</f>
        <v>壳体W*D*H</v>
      </c>
      <c r="C116" s="164" t="s">
        <v>3120</v>
      </c>
      <c r="D116" s="165" t="str">
        <f>IFERROR(VLOOKUP(C116,元件库!$B:$O,2,FALSE),"")</f>
        <v>精益联合集团</v>
      </c>
      <c r="E116" s="166" t="str">
        <f t="shared" ref="E116:E123" si="40">IF(D116="欣利铜材","米",IF(B116="氧化锌避雷器","组","只"))</f>
        <v>只</v>
      </c>
      <c r="F116" s="166">
        <v>1</v>
      </c>
      <c r="G116" s="42">
        <f t="shared" ref="G116:G123" si="41">IFERROR(J116*K116,"")</f>
        <v>1500</v>
      </c>
      <c r="H116" s="42">
        <f t="shared" ref="H116:H123" si="42">IFERROR(G116*F116,"")</f>
        <v>1500</v>
      </c>
      <c r="I116" s="167"/>
      <c r="J116" s="168">
        <f t="shared" ref="J116:J123" si="43">P$1</f>
        <v>1</v>
      </c>
      <c r="K116" s="169">
        <f t="shared" ref="K116:K123" si="44">IFERROR(M116*L116,"")</f>
        <v>1500</v>
      </c>
      <c r="L116" s="170">
        <f>IFERROR(VLOOKUP(C116,元件库!$B:$O,10,FALSE),"1.00")</f>
        <v>1</v>
      </c>
      <c r="M116" s="171">
        <f>IFERROR(VLOOKUP(C116,元件库!$B:$O,11,FALSE),"")</f>
        <v>1500</v>
      </c>
      <c r="N116" s="172" t="str">
        <f t="shared" ref="N116:N132" ca="1" si="45">IF(AND(ISNUMBER(FIND("IF",_xlfn.FORMULATEXT(L116))),ISNUMBER(FIND("IF",_xlfn.FORMULATEXT(M116)))),"","值")</f>
        <v/>
      </c>
      <c r="O116" s="157"/>
      <c r="P116" s="157"/>
    </row>
    <row r="117" spans="1:23" s="175" customFormat="1" ht="16.5" customHeight="1" x14ac:dyDescent="0.2">
      <c r="A117" s="38">
        <f>COUNTIF($J$1:J117,"!")</f>
        <v>8</v>
      </c>
      <c r="B117" s="163" t="str">
        <f>IFERROR(VLOOKUP(C117,元件库!$B:$O,3,FALSE),"")</f>
        <v>高压熔断器</v>
      </c>
      <c r="C117" s="164" t="s">
        <v>3041</v>
      </c>
      <c r="D117" s="165" t="str">
        <f>IFERROR(VLOOKUP(C117,元件库!$B:$O,2,FALSE),"")</f>
        <v>上海智广</v>
      </c>
      <c r="E117" s="166" t="str">
        <f t="shared" si="40"/>
        <v>只</v>
      </c>
      <c r="F117" s="166">
        <v>3</v>
      </c>
      <c r="G117" s="42">
        <f t="shared" si="41"/>
        <v>60</v>
      </c>
      <c r="H117" s="42">
        <f t="shared" si="42"/>
        <v>180</v>
      </c>
      <c r="I117" s="167"/>
      <c r="J117" s="168">
        <f t="shared" si="43"/>
        <v>1</v>
      </c>
      <c r="K117" s="169">
        <f t="shared" si="44"/>
        <v>60</v>
      </c>
      <c r="L117" s="170">
        <f>IFERROR(VLOOKUP(C117,元件库!$B:$O,10,FALSE),"1.00")</f>
        <v>1</v>
      </c>
      <c r="M117" s="171">
        <f>IFERROR(VLOOKUP(C117,元件库!$B:$O,11,FALSE),"")</f>
        <v>60</v>
      </c>
      <c r="N117" s="172" t="str">
        <f t="shared" ca="1" si="45"/>
        <v/>
      </c>
      <c r="O117" s="157"/>
      <c r="W117" s="162"/>
    </row>
    <row r="118" spans="1:23" s="175" customFormat="1" ht="16.5" customHeight="1" x14ac:dyDescent="0.2">
      <c r="A118" s="38">
        <f>COUNTIF($J$1:J118,"!")</f>
        <v>8</v>
      </c>
      <c r="B118" s="163" t="str">
        <f>IFERROR(VLOOKUP(C118,元件库!$B:$O,3,FALSE),"")</f>
        <v>电压互感器</v>
      </c>
      <c r="C118" s="164" t="s">
        <v>2135</v>
      </c>
      <c r="D118" s="165" t="str">
        <f>IFERROR(VLOOKUP(C118,元件库!$B:$O,2,FALSE),"")</f>
        <v>浙江泰成</v>
      </c>
      <c r="E118" s="166" t="str">
        <f t="shared" si="40"/>
        <v>只</v>
      </c>
      <c r="F118" s="166">
        <v>2</v>
      </c>
      <c r="G118" s="42">
        <f t="shared" si="41"/>
        <v>963</v>
      </c>
      <c r="H118" s="42">
        <f t="shared" si="42"/>
        <v>1926</v>
      </c>
      <c r="I118" s="167"/>
      <c r="J118" s="168">
        <f t="shared" si="43"/>
        <v>1</v>
      </c>
      <c r="K118" s="169">
        <f t="shared" si="44"/>
        <v>963</v>
      </c>
      <c r="L118" s="170">
        <f>IFERROR(VLOOKUP(C118,元件库!$B:$O,10,FALSE),"1.00")</f>
        <v>1</v>
      </c>
      <c r="M118" s="171">
        <f>IFERROR(VLOOKUP(C118,元件库!$B:$O,11,FALSE),"")</f>
        <v>963</v>
      </c>
      <c r="N118" s="172" t="str">
        <f t="shared" ca="1" si="45"/>
        <v/>
      </c>
      <c r="O118" s="157"/>
      <c r="W118" s="162"/>
    </row>
    <row r="119" spans="1:23" s="175" customFormat="1" ht="16.5" customHeight="1" x14ac:dyDescent="0.2">
      <c r="A119" s="38">
        <f>COUNTIF($J$1:J119,"!")</f>
        <v>8</v>
      </c>
      <c r="B119" s="163" t="str">
        <f>IFERROR(VLOOKUP(C119,元件库!$B:$O,3,FALSE),"")</f>
        <v>电流.电压表</v>
      </c>
      <c r="C119" s="164" t="s">
        <v>1899</v>
      </c>
      <c r="D119" s="165" t="str">
        <f>IFERROR(VLOOKUP(C119,元件库!$B:$O,2,FALSE),"")</f>
        <v>精益联合集团</v>
      </c>
      <c r="E119" s="166" t="str">
        <f t="shared" si="40"/>
        <v>只</v>
      </c>
      <c r="F119" s="166">
        <v>3</v>
      </c>
      <c r="G119" s="42">
        <f t="shared" si="41"/>
        <v>13.750000000000002</v>
      </c>
      <c r="H119" s="42">
        <f t="shared" si="42"/>
        <v>41.250000000000007</v>
      </c>
      <c r="I119" s="167"/>
      <c r="J119" s="168">
        <f t="shared" si="43"/>
        <v>1</v>
      </c>
      <c r="K119" s="169">
        <f t="shared" si="44"/>
        <v>13.750000000000002</v>
      </c>
      <c r="L119" s="170">
        <f>IFERROR(VLOOKUP(C119,元件库!$B:$O,10,FALSE),"1.00")</f>
        <v>0.55000000000000004</v>
      </c>
      <c r="M119" s="171">
        <f>IFERROR(VLOOKUP(C119,元件库!$B:$O,11,FALSE),"")</f>
        <v>25</v>
      </c>
      <c r="N119" s="172" t="str">
        <f t="shared" ca="1" si="45"/>
        <v/>
      </c>
      <c r="O119" s="157"/>
      <c r="W119" s="162"/>
    </row>
    <row r="120" spans="1:23" s="175" customFormat="1" ht="16.5" customHeight="1" x14ac:dyDescent="0.2">
      <c r="A120" s="38">
        <f>COUNTIF($J$1:J120,"!")</f>
        <v>8</v>
      </c>
      <c r="B120" s="163" t="str">
        <f>IFERROR(VLOOKUP(C120,元件库!$B:$O,3,FALSE),"")</f>
        <v>氧化锌避雷器</v>
      </c>
      <c r="C120" s="164" t="s">
        <v>1917</v>
      </c>
      <c r="D120" s="165" t="str">
        <f>IFERROR(VLOOKUP(C120,元件库!$B:$O,2,FALSE),"")</f>
        <v>雷恩电气</v>
      </c>
      <c r="E120" s="166" t="str">
        <f t="shared" si="40"/>
        <v>组</v>
      </c>
      <c r="F120" s="166">
        <v>1</v>
      </c>
      <c r="G120" s="42">
        <f t="shared" si="41"/>
        <v>200</v>
      </c>
      <c r="H120" s="42">
        <f t="shared" si="42"/>
        <v>200</v>
      </c>
      <c r="I120" s="167"/>
      <c r="J120" s="168">
        <f t="shared" si="43"/>
        <v>1</v>
      </c>
      <c r="K120" s="169">
        <f t="shared" si="44"/>
        <v>200</v>
      </c>
      <c r="L120" s="170">
        <f>IFERROR(VLOOKUP(C120,元件库!$B:$O,10,FALSE),"1.00")</f>
        <v>1</v>
      </c>
      <c r="M120" s="171">
        <f>IFERROR(VLOOKUP(C120,元件库!$B:$O,11,FALSE),"")</f>
        <v>200</v>
      </c>
      <c r="N120" s="172" t="str">
        <f t="shared" ca="1" si="45"/>
        <v/>
      </c>
      <c r="O120" s="157"/>
      <c r="W120" s="162"/>
    </row>
    <row r="121" spans="1:23" s="175" customFormat="1" ht="16.5" customHeight="1" x14ac:dyDescent="0.2">
      <c r="A121" s="38">
        <f>COUNTIF($J$1:J121,"!")</f>
        <v>8</v>
      </c>
      <c r="B121" s="163" t="str">
        <f>IFERROR(VLOOKUP(C121,元件库!$B:$O,3,FALSE),"")</f>
        <v>穿墙套管</v>
      </c>
      <c r="C121" s="164" t="s">
        <v>135</v>
      </c>
      <c r="D121" s="165" t="str">
        <f>IFERROR(VLOOKUP(C121,元件库!$B:$O,2,FALSE),"")</f>
        <v>福一开</v>
      </c>
      <c r="E121" s="166" t="str">
        <f t="shared" si="40"/>
        <v>只</v>
      </c>
      <c r="F121" s="166">
        <v>3</v>
      </c>
      <c r="G121" s="42">
        <f t="shared" si="41"/>
        <v>45</v>
      </c>
      <c r="H121" s="42">
        <f t="shared" si="42"/>
        <v>135</v>
      </c>
      <c r="I121" s="167"/>
      <c r="J121" s="168">
        <f t="shared" si="43"/>
        <v>1</v>
      </c>
      <c r="K121" s="169">
        <f t="shared" si="44"/>
        <v>45</v>
      </c>
      <c r="L121" s="170">
        <f>IFERROR(VLOOKUP(C121,元件库!$B:$O,10,FALSE),"1.00")</f>
        <v>1</v>
      </c>
      <c r="M121" s="171">
        <f>IFERROR(VLOOKUP(C121,元件库!$B:$O,11,FALSE),"")</f>
        <v>45</v>
      </c>
      <c r="N121" s="172" t="str">
        <f t="shared" ca="1" si="45"/>
        <v/>
      </c>
      <c r="O121" s="157"/>
      <c r="W121" s="162"/>
    </row>
    <row r="122" spans="1:23" s="175" customFormat="1" ht="16.5" customHeight="1" x14ac:dyDescent="0.2">
      <c r="A122" s="38">
        <f>COUNTIF($J$1:J122,"!")</f>
        <v>8</v>
      </c>
      <c r="B122" s="163" t="str">
        <f>IFERROR(VLOOKUP(C122,元件库!$B:$O,3,FALSE),"")</f>
        <v>支柱绝缘子</v>
      </c>
      <c r="C122" s="164" t="s">
        <v>136</v>
      </c>
      <c r="D122" s="165" t="str">
        <f>IFERROR(VLOOKUP(C122,元件库!$B:$O,2,FALSE),"")</f>
        <v>福一开</v>
      </c>
      <c r="E122" s="166" t="str">
        <f t="shared" si="40"/>
        <v>只</v>
      </c>
      <c r="F122" s="166">
        <v>3</v>
      </c>
      <c r="G122" s="42">
        <f t="shared" si="41"/>
        <v>22</v>
      </c>
      <c r="H122" s="42">
        <f t="shared" si="42"/>
        <v>66</v>
      </c>
      <c r="I122" s="167"/>
      <c r="J122" s="168">
        <f t="shared" si="43"/>
        <v>1</v>
      </c>
      <c r="K122" s="169">
        <f t="shared" si="44"/>
        <v>22</v>
      </c>
      <c r="L122" s="170">
        <f>IFERROR(VLOOKUP(C122,元件库!$B:$O,10,FALSE),"1.00")</f>
        <v>1</v>
      </c>
      <c r="M122" s="171">
        <f>IFERROR(VLOOKUP(C122,元件库!$B:$O,11,FALSE),"")</f>
        <v>22</v>
      </c>
      <c r="N122" s="172" t="str">
        <f t="shared" ca="1" si="45"/>
        <v/>
      </c>
      <c r="O122" s="157"/>
      <c r="W122" s="162"/>
    </row>
    <row r="123" spans="1:23" s="175" customFormat="1" ht="16.5" customHeight="1" x14ac:dyDescent="0.2">
      <c r="A123" s="38">
        <f>COUNTIF($J$1:J123,"!")</f>
        <v>8</v>
      </c>
      <c r="B123" s="163" t="str">
        <f>IFERROR(VLOOKUP(C123,元件库!$B:$O,3,FALSE),"")</f>
        <v>电压传感器</v>
      </c>
      <c r="C123" s="164" t="s">
        <v>137</v>
      </c>
      <c r="D123" s="165" t="str">
        <f>IFERROR(VLOOKUP(C123,元件库!$B:$O,2,FALSE),"")</f>
        <v>福一开</v>
      </c>
      <c r="E123" s="166" t="str">
        <f t="shared" si="40"/>
        <v>只</v>
      </c>
      <c r="F123" s="166">
        <v>1</v>
      </c>
      <c r="G123" s="42">
        <f t="shared" si="41"/>
        <v>93</v>
      </c>
      <c r="H123" s="42">
        <f t="shared" si="42"/>
        <v>93</v>
      </c>
      <c r="I123" s="167"/>
      <c r="J123" s="168">
        <f t="shared" si="43"/>
        <v>1</v>
      </c>
      <c r="K123" s="169">
        <f t="shared" si="44"/>
        <v>93</v>
      </c>
      <c r="L123" s="170">
        <f>IFERROR(VLOOKUP(C123,元件库!$B:$O,10,FALSE),"1.00")</f>
        <v>1</v>
      </c>
      <c r="M123" s="171">
        <f>IFERROR(VLOOKUP(C123,元件库!$B:$O,11,FALSE),"")</f>
        <v>93</v>
      </c>
      <c r="N123" s="172" t="str">
        <f t="shared" ca="1" si="45"/>
        <v/>
      </c>
      <c r="O123" s="157"/>
      <c r="W123" s="162"/>
    </row>
    <row r="124" spans="1:23" s="175" customFormat="1" ht="16.5" customHeight="1" x14ac:dyDescent="0.2">
      <c r="A124" s="38">
        <f>COUNTIF($J$1:J124,"!")</f>
        <v>8</v>
      </c>
      <c r="B124" s="163" t="str">
        <f>IFERROR(VLOOKUP(C124,元件库!$B:$O,3,FALSE),"")</f>
        <v>带电显示器</v>
      </c>
      <c r="C124" s="164" t="s">
        <v>1897</v>
      </c>
      <c r="D124" s="165" t="str">
        <f>IFERROR(VLOOKUP(C124,元件库!$B:$O,2,FALSE),"")</f>
        <v>江山鑫源</v>
      </c>
      <c r="E124" s="166" t="str">
        <f>IF(D124="欣利铜材","米",IF(B124="氧化锌避雷器","组","只"))</f>
        <v>只</v>
      </c>
      <c r="F124" s="166">
        <v>1</v>
      </c>
      <c r="G124" s="42">
        <f>IFERROR(J124*K124,"")</f>
        <v>33</v>
      </c>
      <c r="H124" s="42">
        <f>IFERROR(G124*F124,"")</f>
        <v>33</v>
      </c>
      <c r="I124" s="167"/>
      <c r="J124" s="168">
        <f>P$1</f>
        <v>1</v>
      </c>
      <c r="K124" s="169">
        <f>IFERROR(M124*L124,"")</f>
        <v>33</v>
      </c>
      <c r="L124" s="170">
        <f>IFERROR(VLOOKUP(C124,元件库!$B:$O,10,FALSE),"1.00")</f>
        <v>1</v>
      </c>
      <c r="M124" s="171">
        <f>IFERROR(VLOOKUP(C124,元件库!$B:$O,11,FALSE),"")</f>
        <v>33</v>
      </c>
      <c r="N124" s="172" t="str">
        <f t="shared" ca="1" si="45"/>
        <v/>
      </c>
      <c r="O124" s="157"/>
      <c r="W124" s="162"/>
    </row>
    <row r="125" spans="1:23" s="175" customFormat="1" ht="16.5" customHeight="1" x14ac:dyDescent="0.2">
      <c r="A125" s="38">
        <f>COUNTIF($J$1:J125,"!")</f>
        <v>8</v>
      </c>
      <c r="B125" s="163" t="str">
        <f>IFERROR(VLOOKUP(C125,元件库!$B:$O,3,FALSE),"")</f>
        <v>电磁锁</v>
      </c>
      <c r="C125" s="164" t="s">
        <v>98</v>
      </c>
      <c r="D125" s="165" t="str">
        <f>IFERROR(VLOOKUP(C125,元件库!$B:$O,2,FALSE),"")</f>
        <v>哈陆拉</v>
      </c>
      <c r="E125" s="166" t="str">
        <f>IF(D125="欣利铜材","米",IF(B125="氧化锌避雷器","组","只"))</f>
        <v>只</v>
      </c>
      <c r="F125" s="166">
        <v>1</v>
      </c>
      <c r="G125" s="42">
        <f>IFERROR(J125*K125,"")</f>
        <v>55</v>
      </c>
      <c r="H125" s="42">
        <f>IFERROR(G125*F125,"")</f>
        <v>55</v>
      </c>
      <c r="I125" s="167"/>
      <c r="J125" s="168">
        <f t="shared" ref="J125:J132" si="46">P$1</f>
        <v>1</v>
      </c>
      <c r="K125" s="169">
        <f>IFERROR(M125*L125,"")</f>
        <v>55</v>
      </c>
      <c r="L125" s="170">
        <f>IFERROR(VLOOKUP(C125,元件库!$B:$O,10,FALSE),"1.00")</f>
        <v>1</v>
      </c>
      <c r="M125" s="171">
        <f>IFERROR(VLOOKUP(C125,元件库!$B:$O,11,FALSE),"")</f>
        <v>55</v>
      </c>
      <c r="N125" s="172" t="str">
        <f t="shared" ca="1" si="45"/>
        <v/>
      </c>
      <c r="O125" s="157"/>
      <c r="W125" s="162"/>
    </row>
    <row r="126" spans="1:23" s="175" customFormat="1" ht="16.5" customHeight="1" x14ac:dyDescent="0.2">
      <c r="A126" s="38">
        <f>COUNTIF($J$1:J126,"!")</f>
        <v>8</v>
      </c>
      <c r="B126" s="163" t="str">
        <f>IFERROR(VLOOKUP(C126,元件库!$B:$O,3,FALSE),"")</f>
        <v>温湿度控制器</v>
      </c>
      <c r="C126" s="164" t="s">
        <v>153</v>
      </c>
      <c r="D126" s="165" t="str">
        <f>IFERROR(VLOOKUP(C126,元件库!$B:$O,2,FALSE),"")</f>
        <v>实德电气</v>
      </c>
      <c r="E126" s="166" t="str">
        <f t="shared" ref="E126:E132" si="47">IF(D126="欣利铜材","米",IF(B126="氧化锌避雷器","组","只"))</f>
        <v>只</v>
      </c>
      <c r="F126" s="166">
        <v>1</v>
      </c>
      <c r="G126" s="42">
        <f t="shared" ref="G126:G132" si="48">IFERROR(J126*K126,"")</f>
        <v>110</v>
      </c>
      <c r="H126" s="42">
        <f t="shared" ref="H126:H132" si="49">IFERROR(G126*F126,"")</f>
        <v>110</v>
      </c>
      <c r="I126" s="167"/>
      <c r="J126" s="168">
        <f t="shared" si="46"/>
        <v>1</v>
      </c>
      <c r="K126" s="169">
        <f t="shared" ref="K126:K132" si="50">IFERROR(M126*L126,"")</f>
        <v>110</v>
      </c>
      <c r="L126" s="170">
        <f>IFERROR(VLOOKUP(C126,元件库!$B:$O,10,FALSE),"1.00")</f>
        <v>1</v>
      </c>
      <c r="M126" s="171">
        <f>IFERROR(VLOOKUP(C126,元件库!$B:$O,11,FALSE),"")</f>
        <v>110</v>
      </c>
      <c r="N126" s="172" t="str">
        <f t="shared" ca="1" si="45"/>
        <v/>
      </c>
      <c r="O126" s="157"/>
    </row>
    <row r="127" spans="1:23" s="175" customFormat="1" ht="16.5" customHeight="1" x14ac:dyDescent="0.2">
      <c r="A127" s="38">
        <f>COUNTIF($J$1:J127,"!")</f>
        <v>8</v>
      </c>
      <c r="B127" s="163" t="str">
        <f>IFERROR(VLOOKUP(C127,元件库!$B:$O,3,FALSE),"")</f>
        <v>加热器</v>
      </c>
      <c r="C127" s="164" t="s">
        <v>101</v>
      </c>
      <c r="D127" s="165" t="str">
        <f>IFERROR(VLOOKUP(C127,元件库!$B:$O,2,FALSE),"")</f>
        <v>实德电气</v>
      </c>
      <c r="E127" s="166" t="str">
        <f t="shared" si="47"/>
        <v>只</v>
      </c>
      <c r="F127" s="166">
        <v>2</v>
      </c>
      <c r="G127" s="42">
        <f t="shared" si="48"/>
        <v>18</v>
      </c>
      <c r="H127" s="42">
        <f t="shared" si="49"/>
        <v>36</v>
      </c>
      <c r="I127" s="167"/>
      <c r="J127" s="168">
        <f t="shared" si="46"/>
        <v>1</v>
      </c>
      <c r="K127" s="169">
        <f t="shared" si="50"/>
        <v>18</v>
      </c>
      <c r="L127" s="170">
        <f>IFERROR(VLOOKUP(C127,元件库!$B:$O,10,FALSE),"1.00")</f>
        <v>1</v>
      </c>
      <c r="M127" s="171">
        <f>IFERROR(VLOOKUP(C127,元件库!$B:$O,11,FALSE),"")</f>
        <v>18</v>
      </c>
      <c r="N127" s="172" t="str">
        <f t="shared" ca="1" si="45"/>
        <v/>
      </c>
      <c r="O127" s="157"/>
    </row>
    <row r="128" spans="1:23" s="175" customFormat="1" ht="16.5" customHeight="1" x14ac:dyDescent="0.2">
      <c r="A128" s="38">
        <f>COUNTIF($J$1:J128,"!")</f>
        <v>8</v>
      </c>
      <c r="B128" s="163" t="str">
        <f>IFERROR(VLOOKUP(C128,元件库!$B:$O,3,FALSE),"")</f>
        <v>高压热缩管</v>
      </c>
      <c r="C128" s="185" t="str">
        <f>"10KV"&amp;MID(C131,4,10)</f>
        <v>10KV-60*6</v>
      </c>
      <c r="D128" s="165" t="str">
        <f>IFERROR(VLOOKUP(C128,元件库!$B:$O,2,FALSE),"")</f>
        <v>精益联合集团</v>
      </c>
      <c r="E128" s="166" t="str">
        <f t="shared" si="47"/>
        <v>只</v>
      </c>
      <c r="F128" s="166">
        <f>ROUND(SUM(F131:F132),0)</f>
        <v>2</v>
      </c>
      <c r="G128" s="42">
        <f t="shared" si="48"/>
        <v>12</v>
      </c>
      <c r="H128" s="42">
        <f t="shared" si="49"/>
        <v>24</v>
      </c>
      <c r="I128" s="167"/>
      <c r="J128" s="168">
        <f t="shared" si="46"/>
        <v>1</v>
      </c>
      <c r="K128" s="169">
        <f t="shared" si="50"/>
        <v>12</v>
      </c>
      <c r="L128" s="170">
        <f>IFERROR(VLOOKUP(C128,元件库!$B:$O,10,FALSE),"1.00")</f>
        <v>1</v>
      </c>
      <c r="M128" s="171">
        <f>IFERROR(VLOOKUP(C128,元件库!$B:$O,11,FALSE),"")</f>
        <v>12</v>
      </c>
      <c r="N128" s="172" t="str">
        <f t="shared" ca="1" si="45"/>
        <v/>
      </c>
      <c r="O128" s="157"/>
    </row>
    <row r="129" spans="1:23" s="175" customFormat="1" ht="16.5" customHeight="1" x14ac:dyDescent="0.2">
      <c r="A129" s="38">
        <f>COUNTIF($J$1:J129,"!")</f>
        <v>8</v>
      </c>
      <c r="B129" s="163" t="str">
        <f>IFERROR(VLOOKUP(C129,元件库!$B:$O,3,FALSE),"")</f>
        <v>铜排</v>
      </c>
      <c r="C129" s="185" t="s">
        <v>1889</v>
      </c>
      <c r="D129" s="165" t="str">
        <f>IFERROR(VLOOKUP(C129,元件库!$B:$O,2,FALSE),"")</f>
        <v>欣利铜材</v>
      </c>
      <c r="E129" s="166" t="str">
        <f t="shared" si="47"/>
        <v>米</v>
      </c>
      <c r="F129" s="166">
        <v>6</v>
      </c>
      <c r="G129" s="42">
        <f t="shared" si="48"/>
        <v>182.62799999999999</v>
      </c>
      <c r="H129" s="42">
        <f t="shared" si="49"/>
        <v>1095.768</v>
      </c>
      <c r="I129" s="167"/>
      <c r="J129" s="168">
        <f t="shared" si="46"/>
        <v>1</v>
      </c>
      <c r="K129" s="169">
        <f t="shared" si="50"/>
        <v>182.62799999999999</v>
      </c>
      <c r="L129" s="170">
        <f>IFERROR(VLOOKUP(C129,元件库!$B:$O,10,FALSE),"1.00")</f>
        <v>1</v>
      </c>
      <c r="M129" s="171">
        <f>IFERROR(VLOOKUP(C129,元件库!$B:$O,11,FALSE),"")</f>
        <v>182.62799999999999</v>
      </c>
      <c r="N129" s="172" t="str">
        <f t="shared" ca="1" si="45"/>
        <v/>
      </c>
      <c r="O129" s="174" t="str">
        <f>O132</f>
        <v>HXGN-500*900*2000</v>
      </c>
    </row>
    <row r="130" spans="1:23" s="175" customFormat="1" ht="16.5" customHeight="1" x14ac:dyDescent="0.2">
      <c r="A130" s="38">
        <f>COUNTIF($J$1:J130,"!")</f>
        <v>8</v>
      </c>
      <c r="B130" s="163" t="str">
        <f>IFERROR(VLOOKUP(C130,元件库!$B:$O,3,FALSE),"")</f>
        <v>铜排</v>
      </c>
      <c r="C130" s="185" t="s">
        <v>1910</v>
      </c>
      <c r="D130" s="165" t="str">
        <f>IFERROR(VLOOKUP(C130,元件库!$B:$O,2,FALSE),"")</f>
        <v>欣利铜材</v>
      </c>
      <c r="E130" s="166" t="str">
        <f t="shared" si="47"/>
        <v>米</v>
      </c>
      <c r="F130" s="166">
        <v>3</v>
      </c>
      <c r="G130" s="42">
        <f t="shared" si="48"/>
        <v>45.656999999999996</v>
      </c>
      <c r="H130" s="42">
        <f t="shared" si="49"/>
        <v>136.971</v>
      </c>
      <c r="I130" s="167"/>
      <c r="J130" s="168">
        <f t="shared" si="46"/>
        <v>1</v>
      </c>
      <c r="K130" s="169">
        <f t="shared" si="50"/>
        <v>45.656999999999996</v>
      </c>
      <c r="L130" s="170">
        <f>IFERROR(VLOOKUP(C130,元件库!$B:$O,10,FALSE),"1.00")</f>
        <v>1</v>
      </c>
      <c r="M130" s="171">
        <f>IFERROR(VLOOKUP(C130,元件库!$B:$O,11,FALSE),"")</f>
        <v>45.656999999999996</v>
      </c>
      <c r="N130" s="172" t="str">
        <f t="shared" ca="1" si="45"/>
        <v/>
      </c>
      <c r="O130" s="174">
        <f>O133</f>
        <v>0</v>
      </c>
    </row>
    <row r="131" spans="1:23" s="175" customFormat="1" ht="16.5" customHeight="1" x14ac:dyDescent="0.2">
      <c r="A131" s="38">
        <f>COUNTIF($J$1:J131,"!")</f>
        <v>8</v>
      </c>
      <c r="B131" s="163" t="s">
        <v>2171</v>
      </c>
      <c r="C131" s="185" t="s">
        <v>1889</v>
      </c>
      <c r="D131" s="165" t="str">
        <f>IFERROR(VLOOKUP(C131,元件库!$B:$O,2,FALSE),"")</f>
        <v>欣利铜材</v>
      </c>
      <c r="E131" s="166" t="str">
        <f t="shared" si="47"/>
        <v>米</v>
      </c>
      <c r="F131" s="166">
        <f>1*MID(O131,FIND("-",O131)+1,FIND("*",O131)-FIND("-",O131)-1)/1000*IF(B131="水平排",3,1)+IF(AND(B131="零母排",VLOOKUP(A131,A$1:B127,2,FALSE)="低压进线柜"),1.5,0)</f>
        <v>1.5</v>
      </c>
      <c r="G131" s="42">
        <f t="shared" si="48"/>
        <v>182.62799999999999</v>
      </c>
      <c r="H131" s="42">
        <f t="shared" si="49"/>
        <v>273.94200000000001</v>
      </c>
      <c r="I131" s="167"/>
      <c r="J131" s="168">
        <f t="shared" si="46"/>
        <v>1</v>
      </c>
      <c r="K131" s="169">
        <f t="shared" si="50"/>
        <v>182.62799999999999</v>
      </c>
      <c r="L131" s="170">
        <f>IFERROR(VLOOKUP(C131,元件库!$B:$O,10,FALSE),"1.00")</f>
        <v>1</v>
      </c>
      <c r="M131" s="171">
        <f>IFERROR(VLOOKUP(C131,元件库!$B:$O,11,FALSE),"")</f>
        <v>182.62799999999999</v>
      </c>
      <c r="N131" s="172" t="str">
        <f t="shared" ca="1" si="45"/>
        <v/>
      </c>
      <c r="O131" s="174" t="str">
        <f>O134</f>
        <v>HXGN-500*900*2000</v>
      </c>
    </row>
    <row r="132" spans="1:23" s="175" customFormat="1" ht="16.5" customHeight="1" x14ac:dyDescent="0.2">
      <c r="A132" s="38">
        <f>COUNTIF($J$1:J132,"!")</f>
        <v>8</v>
      </c>
      <c r="B132" s="163" t="s">
        <v>2172</v>
      </c>
      <c r="C132" s="185" t="s">
        <v>2326</v>
      </c>
      <c r="D132" s="165" t="str">
        <f>IFERROR(VLOOKUP(C132,元件库!$B:$O,2,FALSE),"")</f>
        <v>欣利铜材</v>
      </c>
      <c r="E132" s="166" t="str">
        <f t="shared" si="47"/>
        <v>米</v>
      </c>
      <c r="F132" s="166">
        <f>1*MID(O132,FIND("-",O132)+1,FIND("*",O132)-FIND("-",O132)-1)/1000*IF(B132="水平排",3,1)+IF(AND(B132="零母排",VLOOKUP(A132,A$1:B128,2,FALSE)="低压进线柜"),1.5,0)</f>
        <v>0.5</v>
      </c>
      <c r="G132" s="42">
        <f t="shared" si="48"/>
        <v>81.167999999999992</v>
      </c>
      <c r="H132" s="42">
        <f t="shared" si="49"/>
        <v>40.583999999999996</v>
      </c>
      <c r="I132" s="167"/>
      <c r="J132" s="168">
        <f t="shared" si="46"/>
        <v>1</v>
      </c>
      <c r="K132" s="169">
        <f t="shared" si="50"/>
        <v>81.167999999999992</v>
      </c>
      <c r="L132" s="170">
        <f>IFERROR(VLOOKUP(C132,元件库!$B:$O,10,FALSE),"1.00")</f>
        <v>1</v>
      </c>
      <c r="M132" s="171">
        <f>IFERROR(VLOOKUP(C132,元件库!$B:$O,11,FALSE),"")</f>
        <v>81.167999999999992</v>
      </c>
      <c r="N132" s="172" t="str">
        <f t="shared" ca="1" si="45"/>
        <v/>
      </c>
      <c r="O132" s="174" t="str">
        <f>O135</f>
        <v>HXGN-500*900*2000</v>
      </c>
    </row>
    <row r="133" spans="1:23" s="162" customFormat="1" ht="16.5" customHeight="1" x14ac:dyDescent="0.2">
      <c r="A133" s="38">
        <f>COUNTIF($J$1:J133,"!")</f>
        <v>8</v>
      </c>
      <c r="B133" s="177" t="s">
        <v>107</v>
      </c>
      <c r="C133" s="164"/>
      <c r="D133" s="166"/>
      <c r="E133" s="166"/>
      <c r="F133" s="166"/>
      <c r="G133" s="42"/>
      <c r="H133" s="42"/>
      <c r="I133" s="178">
        <f>SUM(H116:H133)</f>
        <v>5946.5149999999994</v>
      </c>
      <c r="J133" s="168"/>
      <c r="K133" s="169"/>
      <c r="L133" s="170"/>
      <c r="M133" s="171"/>
      <c r="O133" s="161"/>
      <c r="P133" s="157"/>
    </row>
    <row r="134" spans="1:23" ht="16.5" customHeight="1" x14ac:dyDescent="0.2">
      <c r="A134" s="38">
        <f>COUNTIF($J$1:J134,"!")</f>
        <v>8</v>
      </c>
      <c r="B134" s="179" t="s">
        <v>47</v>
      </c>
      <c r="C134" s="164"/>
      <c r="D134" s="166"/>
      <c r="E134" s="166"/>
      <c r="F134" s="166"/>
      <c r="G134" s="42"/>
      <c r="H134" s="42">
        <f>IFERROR(J134*M134*L134,"")</f>
        <v>400</v>
      </c>
      <c r="I134" s="167"/>
      <c r="J134" s="168">
        <f>P$1</f>
        <v>1</v>
      </c>
      <c r="K134" s="169">
        <f t="shared" ref="K134:K135" si="51">IFERROR(M134*L134,"")</f>
        <v>400</v>
      </c>
      <c r="L134" s="170" t="str">
        <f>IFERROR(VLOOKUP(C134,元件库!$B:$O,10,FALSE),"1.00")</f>
        <v>1.00</v>
      </c>
      <c r="M134" s="171">
        <v>400</v>
      </c>
      <c r="O134" s="180" t="str">
        <f>C116</f>
        <v>HXGN-500*900*2000</v>
      </c>
      <c r="P134" s="162"/>
      <c r="R134" s="157"/>
      <c r="S134" s="157"/>
    </row>
    <row r="135" spans="1:23" s="161" customFormat="1" ht="16.5" customHeight="1" x14ac:dyDescent="0.2">
      <c r="A135" s="38">
        <f>COUNTIF($J$1:J135,"!")</f>
        <v>8</v>
      </c>
      <c r="B135" s="179" t="s">
        <v>49</v>
      </c>
      <c r="C135" s="164"/>
      <c r="D135" s="166"/>
      <c r="E135" s="166"/>
      <c r="F135" s="166"/>
      <c r="G135" s="42"/>
      <c r="H135" s="42">
        <f>IFERROR(J135*M135*L135,"")</f>
        <v>200</v>
      </c>
      <c r="I135" s="167"/>
      <c r="J135" s="168">
        <f>P$1</f>
        <v>1</v>
      </c>
      <c r="K135" s="169">
        <f t="shared" si="51"/>
        <v>200</v>
      </c>
      <c r="L135" s="170" t="str">
        <f>IFERROR(VLOOKUP(C135,元件库!$B:$O,10,FALSE),"1.00")</f>
        <v>1.00</v>
      </c>
      <c r="M135" s="171">
        <v>200</v>
      </c>
      <c r="O135" s="174" t="str">
        <f>O134</f>
        <v>HXGN-500*900*2000</v>
      </c>
      <c r="P135" s="162"/>
      <c r="Q135" s="162"/>
    </row>
    <row r="136" spans="1:23" s="161" customFormat="1" ht="16.5" customHeight="1" x14ac:dyDescent="0.2">
      <c r="A136" s="38">
        <f>COUNTIF($J$1:J136,"!")</f>
        <v>8</v>
      </c>
      <c r="B136" s="179" t="s">
        <v>79</v>
      </c>
      <c r="C136" s="164"/>
      <c r="D136" s="166"/>
      <c r="E136" s="166"/>
      <c r="F136" s="166"/>
      <c r="G136" s="42"/>
      <c r="H136" s="42">
        <f>K136*L136</f>
        <v>785.58179999999993</v>
      </c>
      <c r="I136" s="167"/>
      <c r="J136" s="168"/>
      <c r="K136" s="169">
        <f>SUM(H134:H135)+I133</f>
        <v>6546.5149999999994</v>
      </c>
      <c r="L136" s="279">
        <f>R$1</f>
        <v>0.12</v>
      </c>
      <c r="M136" s="171"/>
      <c r="O136" s="181"/>
      <c r="P136" s="162"/>
      <c r="Q136" s="162"/>
    </row>
    <row r="137" spans="1:23" ht="16.5" customHeight="1" x14ac:dyDescent="0.2">
      <c r="A137" s="38">
        <f>COUNTIF($J$1:J137,"!")</f>
        <v>8</v>
      </c>
      <c r="B137" s="179" t="s">
        <v>108</v>
      </c>
      <c r="C137" s="164"/>
      <c r="D137" s="166"/>
      <c r="E137" s="166"/>
      <c r="F137" s="166"/>
      <c r="G137" s="184"/>
      <c r="H137" s="42">
        <f>K137*L137</f>
        <v>219.96290399999998</v>
      </c>
      <c r="I137" s="167"/>
      <c r="J137" s="168"/>
      <c r="K137" s="169">
        <f>H136+K136</f>
        <v>7332.0967999999993</v>
      </c>
      <c r="L137" s="279">
        <f>T$1</f>
        <v>0.03</v>
      </c>
      <c r="M137" s="171"/>
      <c r="O137" s="161"/>
      <c r="P137" s="162"/>
      <c r="R137" s="157"/>
      <c r="S137" s="157"/>
    </row>
    <row r="138" spans="1:23" s="162" customFormat="1" ht="16.5" customHeight="1" x14ac:dyDescent="0.15">
      <c r="A138" s="32">
        <f>COUNTIF($J$1:J138,"!")</f>
        <v>9</v>
      </c>
      <c r="B138" s="33" t="s">
        <v>1886</v>
      </c>
      <c r="C138" s="296" t="s">
        <v>3135</v>
      </c>
      <c r="D138" s="159" t="s">
        <v>2335</v>
      </c>
      <c r="E138" s="34" t="s">
        <v>23</v>
      </c>
      <c r="F138" s="159">
        <v>1</v>
      </c>
      <c r="G138" s="36">
        <f>ROUND(SUM(H139:H157),0)</f>
        <v>6671</v>
      </c>
      <c r="H138" s="160" t="str">
        <f>IF(ISNUMBER(FIND(" ",C139)),MID(C139,1,FIND(" ",C139)-1),IF(ISNUMBER(FIND("电容柜",B138)),"GGJ",MID(C139,1,FIND("-",C139)-1)))</f>
        <v>HXGN</v>
      </c>
      <c r="I138" s="47" t="str">
        <f>MID(C139,IF(LEN(C139)-LEN(H138)&gt;3,LEN(H138)+2,1),30)</f>
        <v>800*900*2000</v>
      </c>
      <c r="J138" s="48" t="s">
        <v>24</v>
      </c>
      <c r="K138" s="49"/>
      <c r="L138" s="50"/>
      <c r="M138" s="51"/>
      <c r="N138" s="172"/>
      <c r="O138" s="161"/>
    </row>
    <row r="139" spans="1:23" s="162" customFormat="1" ht="16.5" customHeight="1" x14ac:dyDescent="0.2">
      <c r="A139" s="38">
        <f>COUNTIF($J$1:J139,"!")</f>
        <v>9</v>
      </c>
      <c r="B139" s="163" t="str">
        <f>IFERROR(VLOOKUP(C139,元件库!$B:$O,3,FALSE),"")</f>
        <v>壳体W*D*H</v>
      </c>
      <c r="C139" s="164" t="s">
        <v>3122</v>
      </c>
      <c r="D139" s="165" t="str">
        <f>IFERROR(VLOOKUP(C139,元件库!$B:$O,2,FALSE),"")</f>
        <v>精益联合集团</v>
      </c>
      <c r="E139" s="166" t="str">
        <f t="shared" ref="E139:E144" si="52">IF(D139="欣利铜材","米",IF(B139="氧化锌避雷器","组","只"))</f>
        <v>只</v>
      </c>
      <c r="F139" s="166">
        <v>1</v>
      </c>
      <c r="G139" s="42">
        <f t="shared" ref="G139:G144" si="53">IFERROR(J139*K139,"")</f>
        <v>1800</v>
      </c>
      <c r="H139" s="42">
        <f t="shared" ref="H139:H144" si="54">IFERROR(G139*F139,"")</f>
        <v>1800</v>
      </c>
      <c r="I139" s="167"/>
      <c r="J139" s="168">
        <f t="shared" ref="J139:J144" si="55">P$1</f>
        <v>1</v>
      </c>
      <c r="K139" s="169">
        <f t="shared" ref="K139:K144" si="56">IFERROR(M139*L139,"")</f>
        <v>1800</v>
      </c>
      <c r="L139" s="170">
        <f>IFERROR(VLOOKUP(C139,元件库!$B:$O,10,FALSE),"1.00")</f>
        <v>1</v>
      </c>
      <c r="M139" s="171">
        <f>IFERROR(VLOOKUP(C139,元件库!$B:$O,11,FALSE),"")</f>
        <v>1800</v>
      </c>
      <c r="N139" s="172" t="str">
        <f t="shared" ref="N139:N152" ca="1" si="57">IF(AND(ISNUMBER(FIND("IF",_xlfn.FORMULATEXT(L139))),ISNUMBER(FIND("IF",_xlfn.FORMULATEXT(M139)))),"","值")</f>
        <v/>
      </c>
      <c r="O139" s="157"/>
      <c r="P139" s="157"/>
    </row>
    <row r="140" spans="1:23" s="175" customFormat="1" ht="16.5" customHeight="1" x14ac:dyDescent="0.2">
      <c r="A140" s="38">
        <f>COUNTIF($J$1:J140,"!")</f>
        <v>9</v>
      </c>
      <c r="B140" s="163" t="str">
        <f>IFERROR(VLOOKUP(C140,元件库!$B:$O,3,FALSE),"")</f>
        <v/>
      </c>
      <c r="C140" s="164" t="s">
        <v>861</v>
      </c>
      <c r="D140" s="165" t="str">
        <f>IFERROR(VLOOKUP(C140,元件库!$B:$O,2,FALSE),"")</f>
        <v/>
      </c>
      <c r="E140" s="166" t="str">
        <f t="shared" si="52"/>
        <v>只</v>
      </c>
      <c r="F140" s="166">
        <v>1</v>
      </c>
      <c r="G140" s="42" t="str">
        <f t="shared" si="53"/>
        <v/>
      </c>
      <c r="H140" s="42" t="str">
        <f t="shared" si="54"/>
        <v/>
      </c>
      <c r="I140" s="167"/>
      <c r="J140" s="168">
        <f t="shared" si="55"/>
        <v>1</v>
      </c>
      <c r="K140" s="169" t="str">
        <f t="shared" si="56"/>
        <v/>
      </c>
      <c r="L140" s="170" t="str">
        <f>IFERROR(VLOOKUP(C140,元件库!$B:$O,10,FALSE),"1.00")</f>
        <v>1.00</v>
      </c>
      <c r="M140" s="171" t="str">
        <f>IFERROR(VLOOKUP(C140,元件库!$B:$O,11,FALSE),"")</f>
        <v/>
      </c>
      <c r="N140" s="172" t="str">
        <f t="shared" ca="1" si="57"/>
        <v/>
      </c>
      <c r="O140" s="157"/>
      <c r="W140" s="162"/>
    </row>
    <row r="141" spans="1:23" s="175" customFormat="1" ht="16.5" customHeight="1" x14ac:dyDescent="0.2">
      <c r="A141" s="38">
        <f>COUNTIF($J$1:J141,"!")</f>
        <v>9</v>
      </c>
      <c r="B141" s="163" t="str">
        <f>IFERROR(VLOOKUP(C141,元件库!$B:$O,3,FALSE),"")</f>
        <v>高压熔断器</v>
      </c>
      <c r="C141" s="164" t="s">
        <v>3123</v>
      </c>
      <c r="D141" s="165" t="str">
        <f>IFERROR(VLOOKUP(C141,元件库!$B:$O,2,FALSE),"")</f>
        <v>上海智广</v>
      </c>
      <c r="E141" s="166" t="str">
        <f t="shared" si="52"/>
        <v>只</v>
      </c>
      <c r="F141" s="166">
        <v>3</v>
      </c>
      <c r="G141" s="42">
        <f t="shared" si="53"/>
        <v>140</v>
      </c>
      <c r="H141" s="42">
        <f t="shared" si="54"/>
        <v>420</v>
      </c>
      <c r="I141" s="167"/>
      <c r="J141" s="168">
        <f t="shared" si="55"/>
        <v>1</v>
      </c>
      <c r="K141" s="169">
        <f t="shared" si="56"/>
        <v>140</v>
      </c>
      <c r="L141" s="170">
        <f>IFERROR(VLOOKUP(C141,元件库!$B:$O,10,FALSE),"1.00")</f>
        <v>1</v>
      </c>
      <c r="M141" s="171">
        <f>IFERROR(VLOOKUP(C141,元件库!$B:$O,11,FALSE),"")</f>
        <v>140</v>
      </c>
      <c r="N141" s="172" t="str">
        <f t="shared" ca="1" si="57"/>
        <v/>
      </c>
      <c r="O141" s="157"/>
      <c r="W141" s="162"/>
    </row>
    <row r="142" spans="1:23" s="175" customFormat="1" ht="16.5" customHeight="1" x14ac:dyDescent="0.2">
      <c r="A142" s="38">
        <f>COUNTIF($J$1:J142,"!")</f>
        <v>9</v>
      </c>
      <c r="B142" s="163" t="str">
        <f>IFERROR(VLOOKUP(C142,元件库!$B:$O,3,FALSE),"")</f>
        <v>穿墙套管</v>
      </c>
      <c r="C142" s="164" t="s">
        <v>135</v>
      </c>
      <c r="D142" s="165" t="str">
        <f>IFERROR(VLOOKUP(C142,元件库!$B:$O,2,FALSE),"")</f>
        <v>福一开</v>
      </c>
      <c r="E142" s="166" t="str">
        <f t="shared" si="52"/>
        <v>只</v>
      </c>
      <c r="F142" s="166">
        <v>3</v>
      </c>
      <c r="G142" s="42">
        <f t="shared" si="53"/>
        <v>45</v>
      </c>
      <c r="H142" s="42">
        <f t="shared" si="54"/>
        <v>135</v>
      </c>
      <c r="I142" s="167"/>
      <c r="J142" s="168">
        <f t="shared" si="55"/>
        <v>1</v>
      </c>
      <c r="K142" s="169">
        <f t="shared" si="56"/>
        <v>45</v>
      </c>
      <c r="L142" s="170">
        <f>IFERROR(VLOOKUP(C142,元件库!$B:$O,10,FALSE),"1.00")</f>
        <v>1</v>
      </c>
      <c r="M142" s="171">
        <f>IFERROR(VLOOKUP(C142,元件库!$B:$O,11,FALSE),"")</f>
        <v>45</v>
      </c>
      <c r="N142" s="172" t="str">
        <f t="shared" ca="1" si="57"/>
        <v/>
      </c>
      <c r="O142" s="157"/>
      <c r="W142" s="162"/>
    </row>
    <row r="143" spans="1:23" s="175" customFormat="1" ht="16.5" customHeight="1" x14ac:dyDescent="0.2">
      <c r="A143" s="38">
        <f>COUNTIF($J$1:J143,"!")</f>
        <v>9</v>
      </c>
      <c r="B143" s="163" t="str">
        <f>IFERROR(VLOOKUP(C143,元件库!$B:$O,3,FALSE),"")</f>
        <v>支柱绝缘子</v>
      </c>
      <c r="C143" s="164" t="s">
        <v>136</v>
      </c>
      <c r="D143" s="165" t="str">
        <f>IFERROR(VLOOKUP(C143,元件库!$B:$O,2,FALSE),"")</f>
        <v>福一开</v>
      </c>
      <c r="E143" s="166" t="str">
        <f t="shared" si="52"/>
        <v>只</v>
      </c>
      <c r="F143" s="166">
        <v>3</v>
      </c>
      <c r="G143" s="42">
        <f t="shared" si="53"/>
        <v>22</v>
      </c>
      <c r="H143" s="42">
        <f t="shared" si="54"/>
        <v>66</v>
      </c>
      <c r="I143" s="167"/>
      <c r="J143" s="168">
        <f t="shared" si="55"/>
        <v>1</v>
      </c>
      <c r="K143" s="169">
        <f t="shared" si="56"/>
        <v>22</v>
      </c>
      <c r="L143" s="170">
        <f>IFERROR(VLOOKUP(C143,元件库!$B:$O,10,FALSE),"1.00")</f>
        <v>1</v>
      </c>
      <c r="M143" s="171">
        <f>IFERROR(VLOOKUP(C143,元件库!$B:$O,11,FALSE),"")</f>
        <v>22</v>
      </c>
      <c r="N143" s="172" t="str">
        <f t="shared" ca="1" si="57"/>
        <v/>
      </c>
      <c r="O143" s="157"/>
      <c r="W143" s="162"/>
    </row>
    <row r="144" spans="1:23" s="175" customFormat="1" ht="16.5" customHeight="1" x14ac:dyDescent="0.2">
      <c r="A144" s="38">
        <f>COUNTIF($J$1:J144,"!")</f>
        <v>9</v>
      </c>
      <c r="B144" s="163" t="str">
        <f>IFERROR(VLOOKUP(C144,元件库!$B:$O,3,FALSE),"")</f>
        <v>电压传感器</v>
      </c>
      <c r="C144" s="164" t="s">
        <v>137</v>
      </c>
      <c r="D144" s="165" t="str">
        <f>IFERROR(VLOOKUP(C144,元件库!$B:$O,2,FALSE),"")</f>
        <v>福一开</v>
      </c>
      <c r="E144" s="166" t="str">
        <f t="shared" si="52"/>
        <v>只</v>
      </c>
      <c r="F144" s="166">
        <v>1</v>
      </c>
      <c r="G144" s="42">
        <f t="shared" si="53"/>
        <v>93</v>
      </c>
      <c r="H144" s="42">
        <f t="shared" si="54"/>
        <v>93</v>
      </c>
      <c r="I144" s="167"/>
      <c r="J144" s="168">
        <f t="shared" si="55"/>
        <v>1</v>
      </c>
      <c r="K144" s="169">
        <f t="shared" si="56"/>
        <v>93</v>
      </c>
      <c r="L144" s="170">
        <f>IFERROR(VLOOKUP(C144,元件库!$B:$O,10,FALSE),"1.00")</f>
        <v>1</v>
      </c>
      <c r="M144" s="171">
        <f>IFERROR(VLOOKUP(C144,元件库!$B:$O,11,FALSE),"")</f>
        <v>93</v>
      </c>
      <c r="N144" s="172" t="str">
        <f t="shared" ca="1" si="57"/>
        <v/>
      </c>
      <c r="O144" s="157"/>
      <c r="W144" s="162"/>
    </row>
    <row r="145" spans="1:23" s="175" customFormat="1" ht="16.5" customHeight="1" x14ac:dyDescent="0.2">
      <c r="A145" s="38">
        <f>COUNTIF($J$1:J145,"!")</f>
        <v>9</v>
      </c>
      <c r="B145" s="163" t="str">
        <f>IFERROR(VLOOKUP(C145,元件库!$B:$O,3,FALSE),"")</f>
        <v>带电显示器</v>
      </c>
      <c r="C145" s="164" t="s">
        <v>1897</v>
      </c>
      <c r="D145" s="165" t="str">
        <f>IFERROR(VLOOKUP(C145,元件库!$B:$O,2,FALSE),"")</f>
        <v>江山鑫源</v>
      </c>
      <c r="E145" s="166" t="str">
        <f>IF(D145="欣利铜材","米",IF(B145="氧化锌避雷器","组","只"))</f>
        <v>只</v>
      </c>
      <c r="F145" s="166">
        <v>1</v>
      </c>
      <c r="G145" s="42">
        <f>IFERROR(J145*K145,"")</f>
        <v>33</v>
      </c>
      <c r="H145" s="42">
        <f>IFERROR(G145*F145,"")</f>
        <v>33</v>
      </c>
      <c r="I145" s="167"/>
      <c r="J145" s="168">
        <f>P$1</f>
        <v>1</v>
      </c>
      <c r="K145" s="169">
        <f>IFERROR(M145*L145,"")</f>
        <v>33</v>
      </c>
      <c r="L145" s="170">
        <f>IFERROR(VLOOKUP(C145,元件库!$B:$O,10,FALSE),"1.00")</f>
        <v>1</v>
      </c>
      <c r="M145" s="171">
        <f>IFERROR(VLOOKUP(C145,元件库!$B:$O,11,FALSE),"")</f>
        <v>33</v>
      </c>
      <c r="N145" s="172" t="str">
        <f t="shared" ca="1" si="57"/>
        <v/>
      </c>
      <c r="O145" s="157"/>
      <c r="W145" s="162"/>
    </row>
    <row r="146" spans="1:23" s="175" customFormat="1" ht="16.5" customHeight="1" x14ac:dyDescent="0.2">
      <c r="A146" s="38">
        <f>COUNTIF($J$1:J146,"!")</f>
        <v>9</v>
      </c>
      <c r="B146" s="163" t="str">
        <f>IFERROR(VLOOKUP(C146,元件库!$B:$O,3,FALSE),"")</f>
        <v>电磁锁</v>
      </c>
      <c r="C146" s="164" t="s">
        <v>98</v>
      </c>
      <c r="D146" s="165" t="str">
        <f>IFERROR(VLOOKUP(C146,元件库!$B:$O,2,FALSE),"")</f>
        <v>哈陆拉</v>
      </c>
      <c r="E146" s="166" t="str">
        <f>IF(D146="欣利铜材","米",IF(B146="氧化锌避雷器","组","只"))</f>
        <v>只</v>
      </c>
      <c r="F146" s="166">
        <v>1</v>
      </c>
      <c r="G146" s="42">
        <f>IFERROR(J146*K146,"")</f>
        <v>55</v>
      </c>
      <c r="H146" s="42">
        <f>IFERROR(G146*F146,"")</f>
        <v>55</v>
      </c>
      <c r="I146" s="167"/>
      <c r="J146" s="168">
        <f t="shared" ref="J146:J152" si="58">P$1</f>
        <v>1</v>
      </c>
      <c r="K146" s="169">
        <f>IFERROR(M146*L146,"")</f>
        <v>55</v>
      </c>
      <c r="L146" s="170">
        <f>IFERROR(VLOOKUP(C146,元件库!$B:$O,10,FALSE),"1.00")</f>
        <v>1</v>
      </c>
      <c r="M146" s="171">
        <f>IFERROR(VLOOKUP(C146,元件库!$B:$O,11,FALSE),"")</f>
        <v>55</v>
      </c>
      <c r="N146" s="172" t="str">
        <f t="shared" ca="1" si="57"/>
        <v/>
      </c>
      <c r="O146" s="157"/>
      <c r="W146" s="162"/>
    </row>
    <row r="147" spans="1:23" s="175" customFormat="1" ht="16.5" customHeight="1" x14ac:dyDescent="0.2">
      <c r="A147" s="38">
        <f>COUNTIF($J$1:J147,"!")</f>
        <v>9</v>
      </c>
      <c r="B147" s="163" t="str">
        <f>IFERROR(VLOOKUP(C147,元件库!$B:$O,3,FALSE),"")</f>
        <v>温湿度控制器</v>
      </c>
      <c r="C147" s="164" t="s">
        <v>153</v>
      </c>
      <c r="D147" s="165" t="str">
        <f>IFERROR(VLOOKUP(C147,元件库!$B:$O,2,FALSE),"")</f>
        <v>实德电气</v>
      </c>
      <c r="E147" s="166" t="str">
        <f t="shared" ref="E147:E152" si="59">IF(D147="欣利铜材","米",IF(B147="氧化锌避雷器","组","只"))</f>
        <v>只</v>
      </c>
      <c r="F147" s="166">
        <v>1</v>
      </c>
      <c r="G147" s="42">
        <f t="shared" ref="G147:G152" si="60">IFERROR(J147*K147,"")</f>
        <v>110</v>
      </c>
      <c r="H147" s="42">
        <f t="shared" ref="H147:H152" si="61">IFERROR(G147*F147,"")</f>
        <v>110</v>
      </c>
      <c r="I147" s="167"/>
      <c r="J147" s="168">
        <f t="shared" si="58"/>
        <v>1</v>
      </c>
      <c r="K147" s="169">
        <f t="shared" ref="K147:K152" si="62">IFERROR(M147*L147,"")</f>
        <v>110</v>
      </c>
      <c r="L147" s="170">
        <f>IFERROR(VLOOKUP(C147,元件库!$B:$O,10,FALSE),"1.00")</f>
        <v>1</v>
      </c>
      <c r="M147" s="171">
        <f>IFERROR(VLOOKUP(C147,元件库!$B:$O,11,FALSE),"")</f>
        <v>110</v>
      </c>
      <c r="N147" s="172" t="str">
        <f t="shared" ca="1" si="57"/>
        <v/>
      </c>
      <c r="O147" s="157"/>
    </row>
    <row r="148" spans="1:23" s="175" customFormat="1" ht="16.5" customHeight="1" x14ac:dyDescent="0.2">
      <c r="A148" s="38">
        <f>COUNTIF($J$1:J148,"!")</f>
        <v>9</v>
      </c>
      <c r="B148" s="163" t="str">
        <f>IFERROR(VLOOKUP(C148,元件库!$B:$O,3,FALSE),"")</f>
        <v>加热器</v>
      </c>
      <c r="C148" s="164" t="s">
        <v>101</v>
      </c>
      <c r="D148" s="165" t="str">
        <f>IFERROR(VLOOKUP(C148,元件库!$B:$O,2,FALSE),"")</f>
        <v>实德电气</v>
      </c>
      <c r="E148" s="166" t="str">
        <f t="shared" si="59"/>
        <v>只</v>
      </c>
      <c r="F148" s="166">
        <v>2</v>
      </c>
      <c r="G148" s="42">
        <f t="shared" si="60"/>
        <v>18</v>
      </c>
      <c r="H148" s="42">
        <f t="shared" si="61"/>
        <v>36</v>
      </c>
      <c r="I148" s="167"/>
      <c r="J148" s="168">
        <f t="shared" si="58"/>
        <v>1</v>
      </c>
      <c r="K148" s="169">
        <f t="shared" si="62"/>
        <v>18</v>
      </c>
      <c r="L148" s="170">
        <f>IFERROR(VLOOKUP(C148,元件库!$B:$O,10,FALSE),"1.00")</f>
        <v>1</v>
      </c>
      <c r="M148" s="171">
        <f>IFERROR(VLOOKUP(C148,元件库!$B:$O,11,FALSE),"")</f>
        <v>18</v>
      </c>
      <c r="N148" s="172" t="str">
        <f t="shared" ca="1" si="57"/>
        <v/>
      </c>
      <c r="O148" s="157"/>
    </row>
    <row r="149" spans="1:23" s="175" customFormat="1" ht="16.5" customHeight="1" x14ac:dyDescent="0.2">
      <c r="A149" s="38">
        <f>COUNTIF($J$1:J149,"!")</f>
        <v>9</v>
      </c>
      <c r="B149" s="163" t="str">
        <f>IFERROR(VLOOKUP(C149,元件库!$B:$O,3,FALSE),"")</f>
        <v>高压热缩管</v>
      </c>
      <c r="C149" s="185" t="str">
        <f>"10KV"&amp;MID(C151,4,10)</f>
        <v>10KV-60*6</v>
      </c>
      <c r="D149" s="165" t="str">
        <f>IFERROR(VLOOKUP(C149,元件库!$B:$O,2,FALSE),"")</f>
        <v>精益联合集团</v>
      </c>
      <c r="E149" s="166" t="str">
        <f t="shared" si="59"/>
        <v>只</v>
      </c>
      <c r="F149" s="166">
        <f>ROUND(SUM(F151:F152),0)</f>
        <v>3</v>
      </c>
      <c r="G149" s="42">
        <f t="shared" si="60"/>
        <v>12</v>
      </c>
      <c r="H149" s="42">
        <f t="shared" si="61"/>
        <v>36</v>
      </c>
      <c r="I149" s="167"/>
      <c r="J149" s="168">
        <f t="shared" si="58"/>
        <v>1</v>
      </c>
      <c r="K149" s="169">
        <f t="shared" si="62"/>
        <v>12</v>
      </c>
      <c r="L149" s="170">
        <f>IFERROR(VLOOKUP(C149,元件库!$B:$O,10,FALSE),"1.00")</f>
        <v>1</v>
      </c>
      <c r="M149" s="171">
        <f>IFERROR(VLOOKUP(C149,元件库!$B:$O,11,FALSE),"")</f>
        <v>12</v>
      </c>
      <c r="N149" s="172" t="str">
        <f t="shared" ca="1" si="57"/>
        <v/>
      </c>
      <c r="O149" s="157"/>
    </row>
    <row r="150" spans="1:23" s="175" customFormat="1" ht="16.5" customHeight="1" x14ac:dyDescent="0.2">
      <c r="A150" s="38">
        <f>COUNTIF($J$1:J150,"!")</f>
        <v>9</v>
      </c>
      <c r="B150" s="163" t="str">
        <f>IFERROR(VLOOKUP(C150,元件库!$B:$O,3,FALSE),"")</f>
        <v>铜排</v>
      </c>
      <c r="C150" s="185" t="s">
        <v>1889</v>
      </c>
      <c r="D150" s="165" t="str">
        <f>IFERROR(VLOOKUP(C150,元件库!$B:$O,2,FALSE),"")</f>
        <v>欣利铜材</v>
      </c>
      <c r="E150" s="166" t="str">
        <f t="shared" si="59"/>
        <v>米</v>
      </c>
      <c r="F150" s="166">
        <v>6</v>
      </c>
      <c r="G150" s="42">
        <f t="shared" si="60"/>
        <v>182.62799999999999</v>
      </c>
      <c r="H150" s="42">
        <f t="shared" si="61"/>
        <v>1095.768</v>
      </c>
      <c r="I150" s="167"/>
      <c r="J150" s="168">
        <f t="shared" si="58"/>
        <v>1</v>
      </c>
      <c r="K150" s="169">
        <f t="shared" si="62"/>
        <v>182.62799999999999</v>
      </c>
      <c r="L150" s="170">
        <f>IFERROR(VLOOKUP(C150,元件库!$B:$O,10,FALSE),"1.00")</f>
        <v>1</v>
      </c>
      <c r="M150" s="171">
        <f>IFERROR(VLOOKUP(C150,元件库!$B:$O,11,FALSE),"")</f>
        <v>182.62799999999999</v>
      </c>
      <c r="N150" s="172" t="str">
        <f t="shared" ca="1" si="57"/>
        <v/>
      </c>
      <c r="O150" s="174" t="str">
        <f>O152</f>
        <v>HXGN-800*900*2000</v>
      </c>
    </row>
    <row r="151" spans="1:23" s="175" customFormat="1" ht="16.5" customHeight="1" x14ac:dyDescent="0.2">
      <c r="A151" s="38">
        <f>COUNTIF($J$1:J151,"!")</f>
        <v>9</v>
      </c>
      <c r="B151" s="163" t="s">
        <v>2171</v>
      </c>
      <c r="C151" s="185" t="s">
        <v>1889</v>
      </c>
      <c r="D151" s="165" t="str">
        <f>IFERROR(VLOOKUP(C151,元件库!$B:$O,2,FALSE),"")</f>
        <v>欣利铜材</v>
      </c>
      <c r="E151" s="166" t="str">
        <f t="shared" si="59"/>
        <v>米</v>
      </c>
      <c r="F151" s="166">
        <f>1*MID(O151,FIND("-",O151)+1,FIND("*",O151)-FIND("-",O151)-1)/1000*IF(B151="水平排",3,1)+IF(AND(B151="零母排",VLOOKUP(A151,A$1:B148,2,FALSE)="低压进线柜"),1.5,0)</f>
        <v>2.4000000000000004</v>
      </c>
      <c r="G151" s="42">
        <f t="shared" si="60"/>
        <v>182.62799999999999</v>
      </c>
      <c r="H151" s="42">
        <f t="shared" si="61"/>
        <v>438.30720000000002</v>
      </c>
      <c r="I151" s="167"/>
      <c r="J151" s="168">
        <f t="shared" si="58"/>
        <v>1</v>
      </c>
      <c r="K151" s="169">
        <f t="shared" si="62"/>
        <v>182.62799999999999</v>
      </c>
      <c r="L151" s="170">
        <f>IFERROR(VLOOKUP(C151,元件库!$B:$O,10,FALSE),"1.00")</f>
        <v>1</v>
      </c>
      <c r="M151" s="171">
        <f>IFERROR(VLOOKUP(C151,元件库!$B:$O,11,FALSE),"")</f>
        <v>182.62799999999999</v>
      </c>
      <c r="N151" s="172" t="str">
        <f t="shared" ca="1" si="57"/>
        <v/>
      </c>
      <c r="O151" s="174" t="str">
        <f>O154</f>
        <v>HXGN-800*900*2000</v>
      </c>
    </row>
    <row r="152" spans="1:23" s="175" customFormat="1" ht="16.5" customHeight="1" x14ac:dyDescent="0.2">
      <c r="A152" s="38">
        <f>COUNTIF($J$1:J152,"!")</f>
        <v>9</v>
      </c>
      <c r="B152" s="163" t="s">
        <v>2172</v>
      </c>
      <c r="C152" s="185" t="s">
        <v>2326</v>
      </c>
      <c r="D152" s="165" t="str">
        <f>IFERROR(VLOOKUP(C152,元件库!$B:$O,2,FALSE),"")</f>
        <v>欣利铜材</v>
      </c>
      <c r="E152" s="166" t="str">
        <f t="shared" si="59"/>
        <v>米</v>
      </c>
      <c r="F152" s="166">
        <f>1*MID(O152,FIND("-",O152)+1,FIND("*",O152)-FIND("-",O152)-1)/1000*IF(B152="水平排",3,1)+IF(AND(B152="零母排",VLOOKUP(A152,A$1:B149,2,FALSE)="低压进线柜"),1.5,0)</f>
        <v>0.8</v>
      </c>
      <c r="G152" s="42">
        <f t="shared" si="60"/>
        <v>81.167999999999992</v>
      </c>
      <c r="H152" s="42">
        <f t="shared" si="61"/>
        <v>64.934399999999997</v>
      </c>
      <c r="I152" s="167"/>
      <c r="J152" s="168">
        <f t="shared" si="58"/>
        <v>1</v>
      </c>
      <c r="K152" s="169">
        <f t="shared" si="62"/>
        <v>81.167999999999992</v>
      </c>
      <c r="L152" s="170">
        <f>IFERROR(VLOOKUP(C152,元件库!$B:$O,10,FALSE),"1.00")</f>
        <v>1</v>
      </c>
      <c r="M152" s="171">
        <f>IFERROR(VLOOKUP(C152,元件库!$B:$O,11,FALSE),"")</f>
        <v>81.167999999999992</v>
      </c>
      <c r="N152" s="172" t="str">
        <f t="shared" ca="1" si="57"/>
        <v/>
      </c>
      <c r="O152" s="174" t="str">
        <f>O155</f>
        <v>HXGN-800*900*2000</v>
      </c>
    </row>
    <row r="153" spans="1:23" s="162" customFormat="1" ht="16.5" customHeight="1" x14ac:dyDescent="0.2">
      <c r="A153" s="38">
        <f>COUNTIF($J$1:J153,"!")</f>
        <v>9</v>
      </c>
      <c r="B153" s="177" t="s">
        <v>107</v>
      </c>
      <c r="C153" s="164"/>
      <c r="D153" s="166"/>
      <c r="E153" s="166"/>
      <c r="F153" s="166"/>
      <c r="G153" s="42"/>
      <c r="H153" s="42"/>
      <c r="I153" s="178">
        <f>SUM(H139:H153)</f>
        <v>4383.0096000000003</v>
      </c>
      <c r="J153" s="168"/>
      <c r="K153" s="169"/>
      <c r="L153" s="170"/>
      <c r="M153" s="171"/>
      <c r="O153" s="161"/>
      <c r="P153" s="157"/>
    </row>
    <row r="154" spans="1:23" ht="16.5" customHeight="1" x14ac:dyDescent="0.2">
      <c r="A154" s="38">
        <f>COUNTIF($J$1:J154,"!")</f>
        <v>9</v>
      </c>
      <c r="B154" s="179" t="s">
        <v>47</v>
      </c>
      <c r="C154" s="164"/>
      <c r="D154" s="166"/>
      <c r="E154" s="166"/>
      <c r="F154" s="166"/>
      <c r="G154" s="42"/>
      <c r="H154" s="42">
        <f>IFERROR(J154*M154*L154,"")</f>
        <v>800</v>
      </c>
      <c r="I154" s="167"/>
      <c r="J154" s="168">
        <f>P$1</f>
        <v>1</v>
      </c>
      <c r="K154" s="169">
        <f>IFERROR(M154*L154,"")</f>
        <v>800</v>
      </c>
      <c r="L154" s="170" t="str">
        <f>IFERROR(VLOOKUP(C154,元件库!$B:$O,10,FALSE),"1.00")</f>
        <v>1.00</v>
      </c>
      <c r="M154" s="171">
        <f>IF(ISNUMBER(FIND("提升",VLOOKUP(A154,A$1:B153,2,FALSE))),IF(B154="成套费",400,200),IF(OR(ISNUMBER(FIND("XGN",O154)),ISNUMBER(FIND("HXGN",O154))),IF(B154="成套费",800,600),IF(ISNUMBER(FIND("KYN28",O154)),IF(B154="成套费",900,700),"")))</f>
        <v>800</v>
      </c>
      <c r="O154" s="180" t="str">
        <f>C139</f>
        <v>HXGN-800*900*2000</v>
      </c>
      <c r="P154" s="162"/>
      <c r="R154" s="157"/>
      <c r="S154" s="157"/>
    </row>
    <row r="155" spans="1:23" s="161" customFormat="1" ht="16.5" customHeight="1" x14ac:dyDescent="0.2">
      <c r="A155" s="38">
        <f>COUNTIF($J$1:J155,"!")</f>
        <v>9</v>
      </c>
      <c r="B155" s="179" t="s">
        <v>49</v>
      </c>
      <c r="C155" s="164"/>
      <c r="D155" s="166"/>
      <c r="E155" s="166"/>
      <c r="F155" s="166"/>
      <c r="G155" s="42"/>
      <c r="H155" s="42">
        <f>IFERROR(J155*M155*L155,"")</f>
        <v>600</v>
      </c>
      <c r="I155" s="167"/>
      <c r="J155" s="168">
        <f>P$1</f>
        <v>1</v>
      </c>
      <c r="K155" s="169">
        <f>IFERROR(M155*L155,"")</f>
        <v>600</v>
      </c>
      <c r="L155" s="170" t="str">
        <f>IFERROR(VLOOKUP(C155,元件库!$B:$O,10,FALSE),"1.00")</f>
        <v>1.00</v>
      </c>
      <c r="M155" s="171">
        <f>IF(ISNUMBER(FIND("提升",VLOOKUP(A155,A$1:B154,2,FALSE))),IF(B155="成套费",400,200),IF(OR(ISNUMBER(FIND("XGN",O155)),ISNUMBER(FIND("HXGN",O155))),IF(B155="成套费",800,600),IF(ISNUMBER(FIND("KYN28",O155)),IF(B155="成套费",900,700),"")))</f>
        <v>600</v>
      </c>
      <c r="O155" s="174" t="str">
        <f>O154</f>
        <v>HXGN-800*900*2000</v>
      </c>
      <c r="P155" s="162"/>
      <c r="Q155" s="162"/>
    </row>
    <row r="156" spans="1:23" s="161" customFormat="1" ht="16.5" customHeight="1" x14ac:dyDescent="0.2">
      <c r="A156" s="38">
        <f>COUNTIF($J$1:J156,"!")</f>
        <v>9</v>
      </c>
      <c r="B156" s="179" t="s">
        <v>79</v>
      </c>
      <c r="C156" s="164"/>
      <c r="D156" s="166"/>
      <c r="E156" s="166"/>
      <c r="F156" s="166"/>
      <c r="G156" s="42"/>
      <c r="H156" s="42">
        <f>K156*L156</f>
        <v>693.96115199999997</v>
      </c>
      <c r="I156" s="167"/>
      <c r="J156" s="168"/>
      <c r="K156" s="169">
        <f>SUM(H154:H155)+I153</f>
        <v>5783.0096000000003</v>
      </c>
      <c r="L156" s="279">
        <f>R$1</f>
        <v>0.12</v>
      </c>
      <c r="M156" s="171"/>
      <c r="O156" s="181"/>
      <c r="P156" s="162"/>
      <c r="Q156" s="162"/>
    </row>
    <row r="157" spans="1:23" ht="16.5" customHeight="1" x14ac:dyDescent="0.2">
      <c r="A157" s="38">
        <f>COUNTIF($J$1:J157,"!")</f>
        <v>9</v>
      </c>
      <c r="B157" s="179" t="s">
        <v>108</v>
      </c>
      <c r="C157" s="164"/>
      <c r="D157" s="166"/>
      <c r="E157" s="166"/>
      <c r="F157" s="166"/>
      <c r="G157" s="184"/>
      <c r="H157" s="42">
        <f>K157*L157</f>
        <v>194.30912255999999</v>
      </c>
      <c r="I157" s="167"/>
      <c r="J157" s="168"/>
      <c r="K157" s="169">
        <f>H156+K156</f>
        <v>6476.9707520000002</v>
      </c>
      <c r="L157" s="279">
        <f>T$1</f>
        <v>0.03</v>
      </c>
      <c r="M157" s="171"/>
      <c r="O157" s="161"/>
      <c r="P157" s="162"/>
      <c r="R157" s="157"/>
      <c r="S157" s="157"/>
    </row>
    <row r="158" spans="1:23" ht="16.5" customHeight="1" x14ac:dyDescent="0.15">
      <c r="A158" s="32">
        <f>COUNTIF($J$1:J158,"!")</f>
        <v>10</v>
      </c>
      <c r="B158" s="33" t="str">
        <f>IF(MID(H158,1,3)="SCB","干式","油式")&amp;B159</f>
        <v>干式变压器</v>
      </c>
      <c r="C158" s="158" t="s">
        <v>179</v>
      </c>
      <c r="D158" s="159" t="s">
        <v>2335</v>
      </c>
      <c r="E158" s="34" t="s">
        <v>23</v>
      </c>
      <c r="F158" s="159">
        <v>1</v>
      </c>
      <c r="G158" s="36">
        <f>ROUND(SUM(H159:H162),0)</f>
        <v>30020</v>
      </c>
      <c r="H158" s="160" t="str">
        <f>IF(ISNUMBER(FIND("M",C159)),MID(C159,1,FIND(" ",C159)-1),MID(C159,1,FIND(" ",C159)-1))</f>
        <v>SCB11-400KVA</v>
      </c>
      <c r="I158" s="47" t="str">
        <f>MID(C159,LEN(H158)+2,30)</f>
        <v>全铝</v>
      </c>
      <c r="J158" s="48" t="s">
        <v>24</v>
      </c>
      <c r="K158" s="49"/>
      <c r="L158" s="50"/>
      <c r="M158" s="51"/>
      <c r="N158" s="161" t="str">
        <f>IF(ISNUMBER(FIND("M",C159)),MID(C159,FIND("M",C159)+2,FIND(" ",C159)-FIND("M",C159)-1),MID(C159,FIND("-",C159)+1,FIND(" ",C159)-FIND("-",C159)))</f>
        <v xml:space="preserve">400KVA </v>
      </c>
      <c r="O158" s="297"/>
    </row>
    <row r="159" spans="1:23" ht="16.5" customHeight="1" x14ac:dyDescent="0.2">
      <c r="A159" s="38">
        <f>COUNTIF($J$1:J159,"!")</f>
        <v>10</v>
      </c>
      <c r="B159" s="163" t="str">
        <f>IFERROR(VLOOKUP(C159,元件库!$B:$O,3,FALSE),"")</f>
        <v>变压器</v>
      </c>
      <c r="C159" s="298" t="s">
        <v>3136</v>
      </c>
      <c r="D159" s="165">
        <f>IFERROR(VLOOKUP(C159,元件库!$B:$O,2,FALSE),"")</f>
        <v>0</v>
      </c>
      <c r="E159" s="166" t="s">
        <v>29</v>
      </c>
      <c r="F159" s="166">
        <v>1</v>
      </c>
      <c r="G159" s="42">
        <f>IFERROR(J159*K159,"")</f>
        <v>30020</v>
      </c>
      <c r="H159" s="42">
        <f>IFERROR(G159*F159,"")</f>
        <v>30020</v>
      </c>
      <c r="I159" s="167"/>
      <c r="J159" s="168">
        <f>P$1</f>
        <v>1</v>
      </c>
      <c r="K159" s="169">
        <f>IFERROR(M159*L159,"")</f>
        <v>30020</v>
      </c>
      <c r="L159" s="170">
        <v>0.95</v>
      </c>
      <c r="M159" s="171">
        <f>IFERROR(VLOOKUP(C159,元件库!$B:$O,11,FALSE),"")</f>
        <v>31600</v>
      </c>
      <c r="N159" s="172" t="str">
        <f ca="1">IF(ISNUMBER(FIND("IF",_xlfn.FORMULATEXT(M159))),"","值")</f>
        <v/>
      </c>
      <c r="O159" s="174"/>
      <c r="P159" s="161" t="str">
        <f>IFERROR(((MID(C159,FIND(" ",C159)+1,FIND("*",C159)-FIND(" ",C159)-1)*MID(C159,FIND("*",C159)+1,FIND("*",MID(C159,FIND("*",C159)+1,30))-1))+(MID(C159,FIND(" ",C159)+1,FIND("*",C159)-FIND(" ",C159)-1)*MID(C159,FIND("*",C159)+1+FIND("*",MID(C159,FIND("*",C159)+1,30)),30))+(MID(C159,FIND("*",C159)+1,FIND("*",MID(C159,FIND("*",C159)+1,30))-1)*MID(C159,FIND("*",C159)+1+FIND("*",MID(C159,FIND("*",C159)+1,30)),30)))/500000+IFERROR(IF(ROUND(MID(C159,FIND("*",C159)+FIND("*",MID(C159,FIND("*",C159)+1,30))+1,10),0)&gt;=350,(MID(C159,FIND(" ",C159)+1,FIND("*",C159)-FIND(" ",C159)-1)*MID(C159,FIND("*",C159)+1,FIND("*",MID(C159,FIND("*",C159)+1,30))-1))/2000000,(MID(C159,FIND(" ",C159)+1,FIND("*",C159)-FIND(" ",C159)-1)*MID(C159,FIND("*",C159)+1,FIND("*",MID(C159,FIND("*",C159)+1,30))-1))/1000000),""),"")</f>
        <v/>
      </c>
      <c r="Q159" s="157"/>
    </row>
    <row r="160" spans="1:23" ht="16.5" customHeight="1" x14ac:dyDescent="0.2">
      <c r="A160" s="38">
        <f>COUNTIF($J$1:J160,"!")</f>
        <v>10</v>
      </c>
      <c r="B160" s="177" t="s">
        <v>107</v>
      </c>
      <c r="C160" s="164"/>
      <c r="D160" s="166"/>
      <c r="E160" s="166"/>
      <c r="F160" s="166"/>
      <c r="G160" s="42"/>
      <c r="H160" s="42"/>
      <c r="I160" s="178">
        <f>SUM(H159:H160)</f>
        <v>30020</v>
      </c>
      <c r="J160" s="168"/>
      <c r="K160" s="169"/>
      <c r="L160" s="170"/>
      <c r="M160" s="171"/>
      <c r="O160" s="174"/>
      <c r="P160" s="162"/>
      <c r="Q160" s="157"/>
    </row>
    <row r="161" spans="1:19" s="161" customFormat="1" ht="16.5" customHeight="1" x14ac:dyDescent="0.2">
      <c r="A161" s="38">
        <f>COUNTIF($J$1:J161,"!")</f>
        <v>10</v>
      </c>
      <c r="B161" s="179" t="s">
        <v>79</v>
      </c>
      <c r="C161" s="164"/>
      <c r="D161" s="166"/>
      <c r="E161" s="166"/>
      <c r="F161" s="166"/>
      <c r="G161" s="42"/>
      <c r="H161" s="42">
        <f>K161*L161</f>
        <v>0</v>
      </c>
      <c r="I161" s="167"/>
      <c r="J161" s="168"/>
      <c r="K161" s="169">
        <f>I160</f>
        <v>30020</v>
      </c>
      <c r="L161" s="279"/>
      <c r="M161" s="171"/>
      <c r="O161" s="181"/>
      <c r="P161" s="162"/>
      <c r="Q161" s="162"/>
    </row>
    <row r="162" spans="1:19" ht="16.5" customHeight="1" x14ac:dyDescent="0.2">
      <c r="A162" s="38">
        <f>COUNTIF($J$1:J162,"!")</f>
        <v>10</v>
      </c>
      <c r="B162" s="179" t="s">
        <v>108</v>
      </c>
      <c r="C162" s="164"/>
      <c r="D162" s="166"/>
      <c r="E162" s="166"/>
      <c r="F162" s="166"/>
      <c r="G162" s="184"/>
      <c r="H162" s="42">
        <f>K162*L162</f>
        <v>0</v>
      </c>
      <c r="I162" s="167"/>
      <c r="J162" s="168"/>
      <c r="K162" s="169">
        <f>H161+K161</f>
        <v>30020</v>
      </c>
      <c r="L162" s="299"/>
      <c r="M162" s="171"/>
      <c r="O162" s="161"/>
      <c r="P162" s="162"/>
      <c r="R162" s="157"/>
      <c r="S162" s="157"/>
    </row>
    <row r="163" spans="1:19" ht="16.5" customHeight="1" x14ac:dyDescent="0.15">
      <c r="A163" s="32">
        <f>COUNTIF($J$1:J163,"!")</f>
        <v>11</v>
      </c>
      <c r="B163" s="33" t="s">
        <v>3042</v>
      </c>
      <c r="C163" s="158" t="s">
        <v>3137</v>
      </c>
      <c r="D163" s="159" t="s">
        <v>2335</v>
      </c>
      <c r="E163" s="34" t="s">
        <v>23</v>
      </c>
      <c r="F163" s="159">
        <v>1</v>
      </c>
      <c r="G163" s="36">
        <f>ROUND(SUM(H164:H180),0)</f>
        <v>10395</v>
      </c>
      <c r="H163" s="160" t="str">
        <f>IF(ISNUMBER(FIND(" ",C164)),MID(C164,1,FIND(" ",C164)-1),IF(ISNUMBER(FIND("电容柜",B163)),"GGJ",MID(C164,1,FIND("-",C164)-1)))</f>
        <v>GGD</v>
      </c>
      <c r="I163" s="47" t="str">
        <f>MID(C164,IF(LEN(C164)-LEN(H163)&gt;3,LEN(H163)+2,1),30)</f>
        <v>800*600*2000</v>
      </c>
      <c r="J163" s="48" t="s">
        <v>24</v>
      </c>
      <c r="K163" s="49"/>
      <c r="L163" s="50"/>
      <c r="M163" s="51"/>
      <c r="O163" s="162"/>
    </row>
    <row r="164" spans="1:19" ht="16.5" customHeight="1" x14ac:dyDescent="0.2">
      <c r="A164" s="38">
        <f>COUNTIF($J$1:J164,"!")</f>
        <v>11</v>
      </c>
      <c r="B164" s="163" t="str">
        <f>IFERROR(VLOOKUP(C164,元件库!$B:$O,3,FALSE),"")</f>
        <v>壳体W*D*H</v>
      </c>
      <c r="C164" s="164" t="s">
        <v>2337</v>
      </c>
      <c r="D164" s="165" t="str">
        <f>IFERROR(VLOOKUP(C164,元件库!$B:$O,2,FALSE),"")</f>
        <v>精益联合集团</v>
      </c>
      <c r="E164" s="166" t="str">
        <f t="shared" ref="E164:E175" si="63">IF(D164="欣利铜材","米",IF(B164="熔断器","套","只"))</f>
        <v>只</v>
      </c>
      <c r="F164" s="166">
        <v>1</v>
      </c>
      <c r="G164" s="42">
        <f t="shared" ref="G164:G175" si="64">IFERROR(J164*K164,"")</f>
        <v>1782.4999999999998</v>
      </c>
      <c r="H164" s="42">
        <f t="shared" ref="H164:H175" si="65">IFERROR(G164*F164,"")</f>
        <v>1782.4999999999998</v>
      </c>
      <c r="I164" s="167"/>
      <c r="J164" s="168">
        <f>P$1</f>
        <v>1</v>
      </c>
      <c r="K164" s="169">
        <f t="shared" ref="K164:K175" si="66">IFERROR(M164*L164,"")</f>
        <v>1782.4999999999998</v>
      </c>
      <c r="L164" s="170">
        <v>1.1499999999999999</v>
      </c>
      <c r="M164" s="171">
        <f>IFERROR(VLOOKUP(C164,元件库!$B:$O,11,FALSE),"")</f>
        <v>1550</v>
      </c>
      <c r="N164" s="172" t="str">
        <f t="shared" ref="N164:N175" ca="1" si="67">IF(AND(ISNUMBER(FIND("IF",_xlfn.FORMULATEXT(L164))),ISNUMBER(FIND("IF",_xlfn.FORMULATEXT(M164)))),"","值")</f>
        <v>值</v>
      </c>
      <c r="O164" s="157" t="str">
        <f>B163</f>
        <v>低压进线柜</v>
      </c>
    </row>
    <row r="165" spans="1:19" s="173" customFormat="1" ht="16.5" customHeight="1" x14ac:dyDescent="0.2">
      <c r="A165" s="38">
        <f>COUNTIF($J$1:J165,"!")</f>
        <v>11</v>
      </c>
      <c r="B165" s="163" t="str">
        <f>IFERROR(VLOOKUP(C165,元件库!$B:$O,3,FALSE),"")</f>
        <v/>
      </c>
      <c r="C165" s="164" t="s">
        <v>3052</v>
      </c>
      <c r="D165" s="165" t="str">
        <f>IFERROR(VLOOKUP(C165,元件库!$B:$O,2,FALSE),"")</f>
        <v/>
      </c>
      <c r="E165" s="166" t="str">
        <f t="shared" si="63"/>
        <v>只</v>
      </c>
      <c r="F165" s="166">
        <v>3</v>
      </c>
      <c r="G165" s="42" t="str">
        <f t="shared" si="64"/>
        <v/>
      </c>
      <c r="H165" s="42" t="str">
        <f t="shared" si="65"/>
        <v/>
      </c>
      <c r="I165" s="167"/>
      <c r="J165" s="168">
        <f t="shared" ref="J165:J175" si="68">P$1</f>
        <v>1</v>
      </c>
      <c r="K165" s="169" t="str">
        <f t="shared" si="66"/>
        <v/>
      </c>
      <c r="L165" s="170" t="str">
        <f>IFERROR(VLOOKUP(C165,元件库!$B:$O,10,FALSE),"1.00")</f>
        <v>1.00</v>
      </c>
      <c r="M165" s="171" t="str">
        <f>IFERROR(VLOOKUP(C165,元件库!$B:$O,11,FALSE),"")</f>
        <v/>
      </c>
      <c r="N165" s="172" t="str">
        <f t="shared" ca="1" si="67"/>
        <v/>
      </c>
      <c r="P165" s="161"/>
    </row>
    <row r="166" spans="1:19" s="173" customFormat="1" ht="16.5" customHeight="1" x14ac:dyDescent="0.2">
      <c r="A166" s="38">
        <f>COUNTIF($J$1:J166,"!")</f>
        <v>11</v>
      </c>
      <c r="B166" s="163" t="str">
        <f>IFERROR(VLOOKUP(C166,元件库!$B:$O,3,FALSE),"")</f>
        <v>刀开关</v>
      </c>
      <c r="C166" s="164" t="s">
        <v>3047</v>
      </c>
      <c r="D166" s="165" t="str">
        <f>IFERROR(VLOOKUP(C166,元件库!$B:$O,2,FALSE),"")</f>
        <v>精益联合集团</v>
      </c>
      <c r="E166" s="166" t="str">
        <f t="shared" si="63"/>
        <v>只</v>
      </c>
      <c r="F166" s="166">
        <v>1</v>
      </c>
      <c r="G166" s="42">
        <f t="shared" si="64"/>
        <v>324.5</v>
      </c>
      <c r="H166" s="42">
        <f t="shared" si="65"/>
        <v>324.5</v>
      </c>
      <c r="I166" s="167"/>
      <c r="J166" s="168">
        <f t="shared" si="68"/>
        <v>1</v>
      </c>
      <c r="K166" s="169">
        <f t="shared" si="66"/>
        <v>324.5</v>
      </c>
      <c r="L166" s="170">
        <f>IFERROR(VLOOKUP(C166,元件库!$B:$O,10,FALSE),"1.00")</f>
        <v>0.55000000000000004</v>
      </c>
      <c r="M166" s="171">
        <f>IFERROR(VLOOKUP(C166,元件库!$B:$O,11,FALSE),"")</f>
        <v>590</v>
      </c>
      <c r="N166" s="172" t="str">
        <f t="shared" ca="1" si="67"/>
        <v/>
      </c>
      <c r="P166" s="161"/>
    </row>
    <row r="167" spans="1:19" s="173" customFormat="1" ht="16.5" customHeight="1" x14ac:dyDescent="0.2">
      <c r="A167" s="38">
        <f>COUNTIF($J$1:J167,"!")</f>
        <v>11</v>
      </c>
      <c r="B167" s="163" t="str">
        <f>IFERROR(VLOOKUP(C167,元件库!$B:$O,3,FALSE),"")</f>
        <v>框架断路器</v>
      </c>
      <c r="C167" s="164" t="s">
        <v>3138</v>
      </c>
      <c r="D167" s="165" t="str">
        <f>IFERROR(VLOOKUP(C167,元件库!$B:$O,2,FALSE),"")</f>
        <v>吉坤电气</v>
      </c>
      <c r="E167" s="166" t="str">
        <f t="shared" si="63"/>
        <v>只</v>
      </c>
      <c r="F167" s="166">
        <v>1</v>
      </c>
      <c r="G167" s="42">
        <f t="shared" si="64"/>
        <v>3885</v>
      </c>
      <c r="H167" s="42">
        <f t="shared" si="65"/>
        <v>3885</v>
      </c>
      <c r="I167" s="167"/>
      <c r="J167" s="168">
        <f t="shared" si="68"/>
        <v>1</v>
      </c>
      <c r="K167" s="169">
        <f t="shared" si="66"/>
        <v>3885</v>
      </c>
      <c r="L167" s="170">
        <f>IFERROR(VLOOKUP(C167,元件库!$B:$O,10,FALSE),"1.00")</f>
        <v>1</v>
      </c>
      <c r="M167" s="171">
        <f>IFERROR(VLOOKUP(C167,元件库!$B:$O,11,FALSE),"")</f>
        <v>3885</v>
      </c>
      <c r="N167" s="172" t="str">
        <f t="shared" ca="1" si="67"/>
        <v/>
      </c>
      <c r="P167" s="161"/>
    </row>
    <row r="168" spans="1:19" s="173" customFormat="1" ht="16.5" customHeight="1" x14ac:dyDescent="0.2">
      <c r="A168" s="38">
        <f>COUNTIF($J$1:J168,"!")</f>
        <v>11</v>
      </c>
      <c r="B168" s="163" t="str">
        <f>IFERROR(VLOOKUP(C168,元件库!$B:$O,3,FALSE),"")</f>
        <v/>
      </c>
      <c r="C168" s="164" t="s">
        <v>3139</v>
      </c>
      <c r="D168" s="165" t="str">
        <f>IFERROR(VLOOKUP(C168,元件库!$B:$O,2,FALSE),"")</f>
        <v/>
      </c>
      <c r="E168" s="166" t="str">
        <f t="shared" si="63"/>
        <v>只</v>
      </c>
      <c r="F168" s="166">
        <v>3</v>
      </c>
      <c r="G168" s="42" t="str">
        <f t="shared" si="64"/>
        <v/>
      </c>
      <c r="H168" s="42" t="str">
        <f t="shared" si="65"/>
        <v/>
      </c>
      <c r="I168" s="167"/>
      <c r="J168" s="168">
        <f t="shared" si="68"/>
        <v>1</v>
      </c>
      <c r="K168" s="169" t="str">
        <f t="shared" si="66"/>
        <v/>
      </c>
      <c r="L168" s="170" t="str">
        <f>IFERROR(VLOOKUP(C168,元件库!$B:$O,10,FALSE),"1.00")</f>
        <v>1.00</v>
      </c>
      <c r="M168" s="171" t="str">
        <f>IFERROR(VLOOKUP(C168,元件库!$B:$O,11,FALSE),"")</f>
        <v/>
      </c>
      <c r="N168" s="172" t="str">
        <f t="shared" ca="1" si="67"/>
        <v/>
      </c>
      <c r="P168" s="161"/>
    </row>
    <row r="169" spans="1:19" s="173" customFormat="1" ht="16.5" customHeight="1" x14ac:dyDescent="0.2">
      <c r="A169" s="38">
        <f>COUNTIF($J$1:J169,"!")</f>
        <v>11</v>
      </c>
      <c r="B169" s="163" t="str">
        <f>IFERROR(VLOOKUP(C169,元件库!$B:$O,3,FALSE),"")</f>
        <v>电流.电压表</v>
      </c>
      <c r="C169" s="164" t="s">
        <v>1899</v>
      </c>
      <c r="D169" s="165" t="str">
        <f>IFERROR(VLOOKUP(C169,元件库!$B:$O,2,FALSE),"")</f>
        <v>精益联合集团</v>
      </c>
      <c r="E169" s="166" t="str">
        <f t="shared" si="63"/>
        <v>只</v>
      </c>
      <c r="F169" s="166">
        <v>6</v>
      </c>
      <c r="G169" s="42">
        <f t="shared" si="64"/>
        <v>13.750000000000002</v>
      </c>
      <c r="H169" s="42">
        <f t="shared" si="65"/>
        <v>82.500000000000014</v>
      </c>
      <c r="I169" s="167"/>
      <c r="J169" s="168">
        <f t="shared" si="68"/>
        <v>1</v>
      </c>
      <c r="K169" s="169">
        <f t="shared" si="66"/>
        <v>13.750000000000002</v>
      </c>
      <c r="L169" s="170">
        <f>IFERROR(VLOOKUP(C169,元件库!$B:$O,10,FALSE),"1.00")</f>
        <v>0.55000000000000004</v>
      </c>
      <c r="M169" s="171">
        <f>IFERROR(VLOOKUP(C169,元件库!$B:$O,11,FALSE),"")</f>
        <v>25</v>
      </c>
      <c r="N169" s="172" t="str">
        <f t="shared" ca="1" si="67"/>
        <v/>
      </c>
      <c r="P169" s="161"/>
    </row>
    <row r="170" spans="1:19" s="173" customFormat="1" ht="16.5" customHeight="1" x14ac:dyDescent="0.2">
      <c r="A170" s="38">
        <f>COUNTIF($J$1:J170,"!")</f>
        <v>11</v>
      </c>
      <c r="B170" s="163" t="str">
        <f>IFERROR(VLOOKUP(C170,元件库!$B:$O,3,FALSE),"")</f>
        <v>指示灯</v>
      </c>
      <c r="C170" s="164" t="s">
        <v>3044</v>
      </c>
      <c r="D170" s="165" t="str">
        <f>IFERROR(VLOOKUP(C170,元件库!$B:$O,2,FALSE),"")</f>
        <v>精益联合集团</v>
      </c>
      <c r="E170" s="166" t="str">
        <f t="shared" si="63"/>
        <v>只</v>
      </c>
      <c r="F170" s="166">
        <v>3</v>
      </c>
      <c r="G170" s="42">
        <f t="shared" si="64"/>
        <v>2.3100000000000005</v>
      </c>
      <c r="H170" s="42">
        <f t="shared" si="65"/>
        <v>6.9300000000000015</v>
      </c>
      <c r="I170" s="167"/>
      <c r="J170" s="168">
        <f t="shared" si="68"/>
        <v>1</v>
      </c>
      <c r="K170" s="169">
        <f t="shared" si="66"/>
        <v>2.3100000000000005</v>
      </c>
      <c r="L170" s="170">
        <f>IFERROR(VLOOKUP(C170,元件库!$B:$O,10,FALSE),"1.00")</f>
        <v>0.55000000000000004</v>
      </c>
      <c r="M170" s="171">
        <f>IFERROR(VLOOKUP(C170,元件库!$B:$O,11,FALSE),"")</f>
        <v>4.2</v>
      </c>
      <c r="N170" s="172" t="str">
        <f t="shared" ca="1" si="67"/>
        <v/>
      </c>
      <c r="P170" s="161"/>
    </row>
    <row r="171" spans="1:19" s="173" customFormat="1" ht="16.5" customHeight="1" x14ac:dyDescent="0.2">
      <c r="A171" s="38">
        <f>COUNTIF($J$1:J171,"!")</f>
        <v>11</v>
      </c>
      <c r="B171" s="163" t="str">
        <f>IFERROR(VLOOKUP(C171,元件库!$B:$O,3,FALSE),"")</f>
        <v/>
      </c>
      <c r="C171" s="164" t="s">
        <v>3045</v>
      </c>
      <c r="D171" s="165" t="str">
        <f>IFERROR(VLOOKUP(C171,元件库!$B:$O,2,FALSE),"")</f>
        <v/>
      </c>
      <c r="E171" s="166" t="str">
        <f t="shared" si="63"/>
        <v>只</v>
      </c>
      <c r="F171" s="166">
        <v>2</v>
      </c>
      <c r="G171" s="42" t="str">
        <f t="shared" si="64"/>
        <v/>
      </c>
      <c r="H171" s="42" t="str">
        <f t="shared" si="65"/>
        <v/>
      </c>
      <c r="I171" s="167"/>
      <c r="J171" s="168">
        <f t="shared" si="68"/>
        <v>1</v>
      </c>
      <c r="K171" s="169" t="str">
        <f t="shared" si="66"/>
        <v/>
      </c>
      <c r="L171" s="170" t="str">
        <f>IFERROR(VLOOKUP(C171,元件库!$B:$O,10,FALSE),"1.00")</f>
        <v>1.00</v>
      </c>
      <c r="M171" s="171" t="str">
        <f>IFERROR(VLOOKUP(C171,元件库!$B:$O,11,FALSE),"")</f>
        <v/>
      </c>
      <c r="N171" s="172" t="str">
        <f t="shared" ca="1" si="67"/>
        <v/>
      </c>
      <c r="P171" s="161"/>
    </row>
    <row r="172" spans="1:19" s="173" customFormat="1" ht="16.5" customHeight="1" x14ac:dyDescent="0.2">
      <c r="A172" s="38">
        <f>COUNTIF($J$1:J172,"!")</f>
        <v>11</v>
      </c>
      <c r="B172" s="163" t="str">
        <f>IFERROR(VLOOKUP(C172,元件库!$B:$O,3,FALSE),"")</f>
        <v>铜排</v>
      </c>
      <c r="C172" s="164" t="s">
        <v>2673</v>
      </c>
      <c r="D172" s="165" t="str">
        <f>IFERROR(VLOOKUP(C172,元件库!$B:$O,2,FALSE),"")</f>
        <v>欣利铜材</v>
      </c>
      <c r="E172" s="166" t="str">
        <f t="shared" si="63"/>
        <v>米</v>
      </c>
      <c r="F172" s="166">
        <v>11</v>
      </c>
      <c r="G172" s="42">
        <f t="shared" si="64"/>
        <v>126.82499999999999</v>
      </c>
      <c r="H172" s="42">
        <f t="shared" si="65"/>
        <v>1395.0749999999998</v>
      </c>
      <c r="I172" s="167"/>
      <c r="J172" s="168">
        <f t="shared" si="68"/>
        <v>1</v>
      </c>
      <c r="K172" s="169">
        <f t="shared" si="66"/>
        <v>126.82499999999999</v>
      </c>
      <c r="L172" s="170">
        <f>IFERROR(VLOOKUP(C172,元件库!$B:$O,10,FALSE),"1.00")</f>
        <v>1</v>
      </c>
      <c r="M172" s="171">
        <f>IFERROR(VLOOKUP(C172,元件库!$B:$O,11,FALSE),"")</f>
        <v>126.82499999999999</v>
      </c>
      <c r="N172" s="172" t="str">
        <f t="shared" ca="1" si="67"/>
        <v/>
      </c>
      <c r="P172" s="161"/>
    </row>
    <row r="173" spans="1:19" s="175" customFormat="1" ht="16.5" customHeight="1" x14ac:dyDescent="0.2">
      <c r="A173" s="38">
        <f>COUNTIF($J$1:J173,"!")</f>
        <v>11</v>
      </c>
      <c r="B173" s="163" t="s">
        <v>2171</v>
      </c>
      <c r="C173" s="164" t="s">
        <v>2673</v>
      </c>
      <c r="D173" s="165" t="str">
        <f>IFERROR(VLOOKUP(C173,元件库!$B:$O,2,FALSE),"")</f>
        <v>欣利铜材</v>
      </c>
      <c r="E173" s="166" t="str">
        <f t="shared" si="63"/>
        <v>米</v>
      </c>
      <c r="F173" s="166">
        <f>1*(MID(O173,FIND("-",O173)+1,FIND("*",O173)-FIND("-",O173)-1)/1000*IF(B173="水平排",3,1))</f>
        <v>2.4000000000000004</v>
      </c>
      <c r="G173" s="42">
        <f t="shared" si="64"/>
        <v>126.82499999999999</v>
      </c>
      <c r="H173" s="42">
        <f t="shared" si="65"/>
        <v>304.38</v>
      </c>
      <c r="I173" s="167"/>
      <c r="J173" s="168">
        <f t="shared" si="68"/>
        <v>1</v>
      </c>
      <c r="K173" s="169">
        <f t="shared" si="66"/>
        <v>126.82499999999999</v>
      </c>
      <c r="L173" s="170">
        <f>IFERROR(VLOOKUP(C173,元件库!$B:$O,10,FALSE),"1.00")</f>
        <v>1</v>
      </c>
      <c r="M173" s="171">
        <f>IFERROR(VLOOKUP(C173,元件库!$B:$O,11,FALSE),"")</f>
        <v>126.82499999999999</v>
      </c>
      <c r="N173" s="172" t="str">
        <f t="shared" ca="1" si="67"/>
        <v/>
      </c>
      <c r="O173" s="174" t="str">
        <f>O177</f>
        <v>GGD-800*600*2000</v>
      </c>
    </row>
    <row r="174" spans="1:19" s="175" customFormat="1" ht="16.5" customHeight="1" x14ac:dyDescent="0.2">
      <c r="A174" s="38">
        <f>COUNTIF($J$1:J174,"!")</f>
        <v>11</v>
      </c>
      <c r="B174" s="163" t="s">
        <v>2725</v>
      </c>
      <c r="C174" s="164" t="s">
        <v>2326</v>
      </c>
      <c r="D174" s="165" t="str">
        <f>IFERROR(VLOOKUP(C174,元件库!$B:$O,2,FALSE),"")</f>
        <v>欣利铜材</v>
      </c>
      <c r="E174" s="166" t="str">
        <f t="shared" si="63"/>
        <v>米</v>
      </c>
      <c r="F174" s="166">
        <f>1*(MID(O174,FIND("-",O174)+1,FIND("*",O174)-FIND("-",O174)-1)/1000*IF(B174="水平排",3,1))</f>
        <v>0.8</v>
      </c>
      <c r="G174" s="42">
        <f t="shared" si="64"/>
        <v>81.167999999999992</v>
      </c>
      <c r="H174" s="42">
        <f t="shared" si="65"/>
        <v>64.934399999999997</v>
      </c>
      <c r="I174" s="167"/>
      <c r="J174" s="168">
        <f t="shared" si="68"/>
        <v>1</v>
      </c>
      <c r="K174" s="169">
        <f t="shared" si="66"/>
        <v>81.167999999999992</v>
      </c>
      <c r="L174" s="170">
        <f>IFERROR(VLOOKUP(C174,元件库!$B:$O,10,FALSE),"1.00")</f>
        <v>1</v>
      </c>
      <c r="M174" s="171">
        <f>IFERROR(VLOOKUP(C174,元件库!$B:$O,11,FALSE),"")</f>
        <v>81.167999999999992</v>
      </c>
      <c r="N174" s="172" t="str">
        <f t="shared" ca="1" si="67"/>
        <v/>
      </c>
      <c r="O174" s="176" t="str">
        <f>O177</f>
        <v>GGD-800*600*2000</v>
      </c>
    </row>
    <row r="175" spans="1:19" s="175" customFormat="1" ht="16.5" customHeight="1" x14ac:dyDescent="0.2">
      <c r="A175" s="38">
        <f>COUNTIF($J$1:J175,"!")</f>
        <v>11</v>
      </c>
      <c r="B175" s="163" t="s">
        <v>2172</v>
      </c>
      <c r="C175" s="164" t="s">
        <v>2326</v>
      </c>
      <c r="D175" s="165" t="str">
        <f>IFERROR(VLOOKUP(C175,元件库!$B:$O,2,FALSE),"")</f>
        <v>欣利铜材</v>
      </c>
      <c r="E175" s="166" t="str">
        <f t="shared" si="63"/>
        <v>米</v>
      </c>
      <c r="F175" s="166">
        <f>1*(MID(O175,FIND("-",O175)+1,FIND("*",O175)-FIND("-",O175)-1)/1000*IF(B175="水平排",3,1))</f>
        <v>0.8</v>
      </c>
      <c r="G175" s="42">
        <f t="shared" si="64"/>
        <v>81.167999999999992</v>
      </c>
      <c r="H175" s="42">
        <f t="shared" si="65"/>
        <v>64.934399999999997</v>
      </c>
      <c r="I175" s="167"/>
      <c r="J175" s="168">
        <f t="shared" si="68"/>
        <v>1</v>
      </c>
      <c r="K175" s="169">
        <f t="shared" si="66"/>
        <v>81.167999999999992</v>
      </c>
      <c r="L175" s="170">
        <f>IFERROR(VLOOKUP(C175,元件库!$B:$O,10,FALSE),"1.00")</f>
        <v>1</v>
      </c>
      <c r="M175" s="171">
        <f>IFERROR(VLOOKUP(C175,元件库!$B:$O,11,FALSE),"")</f>
        <v>81.167999999999992</v>
      </c>
      <c r="N175" s="172" t="str">
        <f t="shared" ca="1" si="67"/>
        <v/>
      </c>
      <c r="O175" s="176" t="str">
        <f>O177</f>
        <v>GGD-800*600*2000</v>
      </c>
    </row>
    <row r="176" spans="1:19" ht="16.5" customHeight="1" x14ac:dyDescent="0.2">
      <c r="A176" s="38">
        <f>COUNTIF($J$1:J176,"!")</f>
        <v>11</v>
      </c>
      <c r="B176" s="177" t="s">
        <v>107</v>
      </c>
      <c r="C176" s="164"/>
      <c r="D176" s="166"/>
      <c r="E176" s="166"/>
      <c r="F176" s="166"/>
      <c r="G176" s="42"/>
      <c r="H176" s="42"/>
      <c r="I176" s="178">
        <f>SUM(H164:H176)</f>
        <v>7910.7538000000004</v>
      </c>
      <c r="J176" s="168"/>
      <c r="K176" s="169"/>
      <c r="L176" s="170"/>
      <c r="M176" s="171"/>
      <c r="O176" s="174"/>
      <c r="P176" s="162"/>
    </row>
    <row r="177" spans="1:23" ht="16.5" customHeight="1" x14ac:dyDescent="0.2">
      <c r="A177" s="38">
        <f>COUNTIF($J$1:J177,"!")</f>
        <v>11</v>
      </c>
      <c r="B177" s="179" t="s">
        <v>47</v>
      </c>
      <c r="C177" s="164"/>
      <c r="D177" s="166"/>
      <c r="E177" s="166"/>
      <c r="F177" s="166"/>
      <c r="G177" s="42"/>
      <c r="H177" s="42">
        <f>IFERROR(J177*K177,"")</f>
        <v>800</v>
      </c>
      <c r="I177" s="167"/>
      <c r="J177" s="168">
        <f>P$1</f>
        <v>1</v>
      </c>
      <c r="K177" s="169">
        <f>L177*M177</f>
        <v>800</v>
      </c>
      <c r="L177" s="170" t="str">
        <f>IFERROR(VLOOKUP(C177,元件库!$B:$O,10,FALSE),"1.00")</f>
        <v>1.00</v>
      </c>
      <c r="M177" s="171">
        <f>IF(B177="成套费",IF(ISNUMBER(FIND("GGD",O177)),800,IF(OR(ISNUMBER(FIND("GCS",O177)),ISNUMBER(FIND("GCK",O177)),ISNUMBER(FIND("MNS",O177))),1000,"")),IF(B177="辅件费",IF(VLOOKUP(A178,A$1:B177,2,FALSE)="低压电容柜",500,300),""))</f>
        <v>800</v>
      </c>
      <c r="O177" s="180" t="str">
        <f>C164</f>
        <v>GGD-800*600*2000</v>
      </c>
    </row>
    <row r="178" spans="1:23" s="161" customFormat="1" ht="16.5" customHeight="1" x14ac:dyDescent="0.2">
      <c r="A178" s="38">
        <f>COUNTIF($J$1:J178,"!")</f>
        <v>11</v>
      </c>
      <c r="B178" s="179" t="s">
        <v>49</v>
      </c>
      <c r="C178" s="164"/>
      <c r="D178" s="166"/>
      <c r="E178" s="166"/>
      <c r="F178" s="166"/>
      <c r="G178" s="42"/>
      <c r="H178" s="42">
        <f>IFERROR(J178*K178,"")</f>
        <v>300</v>
      </c>
      <c r="I178" s="167"/>
      <c r="J178" s="168">
        <f>P$1</f>
        <v>1</v>
      </c>
      <c r="K178" s="169">
        <f>L178*M178</f>
        <v>300</v>
      </c>
      <c r="L178" s="170" t="str">
        <f>IFERROR(VLOOKUP(C178,元件库!$B:$O,10,FALSE),"1.00")</f>
        <v>1.00</v>
      </c>
      <c r="M178" s="171">
        <f>IF(B178="成套费",IF(ISNUMBER(FIND("GGD",O178)),800,IF(OR(ISNUMBER(FIND("GCS",O178)),ISNUMBER(FIND("GCK",O178)),ISNUMBER(FIND("MNS",O178))),1000,"")),IF(B178="辅件费",IF(VLOOKUP(A178,A$1:B178,2,FALSE)="低压电容柜",500,300),""))</f>
        <v>300</v>
      </c>
      <c r="N178" s="181"/>
      <c r="O178" s="182" t="str">
        <f>O177</f>
        <v>GGD-800*600*2000</v>
      </c>
      <c r="R178" s="162"/>
      <c r="S178" s="162"/>
    </row>
    <row r="179" spans="1:23" s="161" customFormat="1" ht="16.5" customHeight="1" x14ac:dyDescent="0.2">
      <c r="A179" s="38">
        <f>COUNTIF($J$1:J179,"!")</f>
        <v>11</v>
      </c>
      <c r="B179" s="179" t="s">
        <v>79</v>
      </c>
      <c r="C179" s="164"/>
      <c r="D179" s="166"/>
      <c r="E179" s="166"/>
      <c r="F179" s="166"/>
      <c r="G179" s="42"/>
      <c r="H179" s="42">
        <f>K179*L179</f>
        <v>1081.2904559999999</v>
      </c>
      <c r="I179" s="167"/>
      <c r="J179" s="168"/>
      <c r="K179" s="169">
        <f>SUM(H176:H178)+I176</f>
        <v>9010.7538000000004</v>
      </c>
      <c r="L179" s="279">
        <f>R$1</f>
        <v>0.12</v>
      </c>
      <c r="M179" s="171"/>
      <c r="N179" s="181"/>
      <c r="O179" s="162"/>
      <c r="R179" s="162"/>
      <c r="S179" s="162"/>
    </row>
    <row r="180" spans="1:23" s="162" customFormat="1" ht="16.5" customHeight="1" x14ac:dyDescent="0.2">
      <c r="A180" s="38">
        <f>COUNTIF($J$1:J180,"!")</f>
        <v>11</v>
      </c>
      <c r="B180" s="179" t="s">
        <v>108</v>
      </c>
      <c r="C180" s="164"/>
      <c r="D180" s="166"/>
      <c r="E180" s="166"/>
      <c r="F180" s="166"/>
      <c r="G180" s="184"/>
      <c r="H180" s="42">
        <f>K180*L180</f>
        <v>302.76132768000002</v>
      </c>
      <c r="I180" s="167"/>
      <c r="J180" s="168"/>
      <c r="K180" s="169">
        <f>H179+K179</f>
        <v>10092.044256000001</v>
      </c>
      <c r="L180" s="279">
        <f>T$1</f>
        <v>0.03</v>
      </c>
      <c r="M180" s="171"/>
      <c r="N180" s="161"/>
      <c r="P180" s="161"/>
      <c r="T180" s="157"/>
      <c r="U180" s="157"/>
      <c r="V180" s="157"/>
      <c r="W180" s="157"/>
    </row>
    <row r="181" spans="1:23" s="162" customFormat="1" ht="16.5" customHeight="1" x14ac:dyDescent="0.15">
      <c r="A181" s="32">
        <f>COUNTIF($J$1:J181,"!")</f>
        <v>12</v>
      </c>
      <c r="B181" s="33" t="s">
        <v>3046</v>
      </c>
      <c r="C181" s="158" t="s">
        <v>3140</v>
      </c>
      <c r="D181" s="159" t="s">
        <v>2335</v>
      </c>
      <c r="E181" s="34" t="s">
        <v>23</v>
      </c>
      <c r="F181" s="159">
        <v>1</v>
      </c>
      <c r="G181" s="36">
        <f>ROUND(SUM(H182:H198),0)</f>
        <v>9652</v>
      </c>
      <c r="H181" s="160" t="str">
        <f>IF(ISNUMBER(FIND(" ",C182)),MID(C182,1,FIND(" ",C182)-1),IF(ISNUMBER(FIND("电容柜",B181)),"GGJ",MID(C182,1,FIND("-",C182)-1)))</f>
        <v>GGJ</v>
      </c>
      <c r="I181" s="47" t="str">
        <f>MID(C182,IF(LEN(C182)-LEN(H181)&gt;3,LEN(H181)+2,1),30)</f>
        <v>800*600*2000</v>
      </c>
      <c r="J181" s="48" t="s">
        <v>24</v>
      </c>
      <c r="K181" s="49"/>
      <c r="L181" s="50"/>
      <c r="M181" s="51"/>
      <c r="N181" s="161"/>
      <c r="P181" s="161"/>
      <c r="T181" s="157"/>
      <c r="U181" s="157"/>
      <c r="V181" s="157"/>
      <c r="W181" s="157"/>
    </row>
    <row r="182" spans="1:23" s="162" customFormat="1" ht="16.5" customHeight="1" x14ac:dyDescent="0.2">
      <c r="A182" s="38">
        <f>COUNTIF($J$1:J182,"!")</f>
        <v>12</v>
      </c>
      <c r="B182" s="163" t="str">
        <f>IFERROR(VLOOKUP(C182,元件库!$B:$O,3,FALSE),"")</f>
        <v>壳体W*D*H</v>
      </c>
      <c r="C182" s="164" t="s">
        <v>2337</v>
      </c>
      <c r="D182" s="165" t="str">
        <f>IFERROR(VLOOKUP(C182,元件库!$B:$O,2,FALSE),"")</f>
        <v>精益联合集团</v>
      </c>
      <c r="E182" s="166" t="str">
        <f t="shared" ref="E182:E193" si="69">IF(D182="欣利铜材","米",IF(B182="熔断器","套","只"))</f>
        <v>只</v>
      </c>
      <c r="F182" s="166">
        <v>1</v>
      </c>
      <c r="G182" s="42">
        <f t="shared" ref="G182:G193" si="70">IFERROR(J182*K182,"")</f>
        <v>1550</v>
      </c>
      <c r="H182" s="42">
        <f t="shared" ref="H182:H193" si="71">IFERROR(G182*F182,"")</f>
        <v>1550</v>
      </c>
      <c r="I182" s="167"/>
      <c r="J182" s="168">
        <f>P$1</f>
        <v>1</v>
      </c>
      <c r="K182" s="169">
        <f t="shared" ref="K182:K193" si="72">IFERROR(M182*L182,"")</f>
        <v>1550</v>
      </c>
      <c r="L182" s="170">
        <f>IFERROR(VLOOKUP(C182,元件库!$B:$O,10,FALSE),"1.00")</f>
        <v>1</v>
      </c>
      <c r="M182" s="171">
        <f>IFERROR(VLOOKUP(C182,元件库!$B:$O,11,FALSE),"")</f>
        <v>1550</v>
      </c>
      <c r="N182" s="172" t="str">
        <f t="shared" ref="N182:N193" ca="1" si="73">IF(AND(ISNUMBER(FIND("IF",_xlfn.FORMULATEXT(L182))),ISNUMBER(FIND("IF",_xlfn.FORMULATEXT(M182)))),"","值")</f>
        <v/>
      </c>
      <c r="O182" s="157" t="str">
        <f>B181</f>
        <v>低压电容柜</v>
      </c>
      <c r="P182" s="161"/>
      <c r="T182" s="157"/>
      <c r="U182" s="157"/>
      <c r="V182" s="157"/>
      <c r="W182" s="157"/>
    </row>
    <row r="183" spans="1:23" s="173" customFormat="1" ht="16.5" customHeight="1" x14ac:dyDescent="0.2">
      <c r="A183" s="38">
        <f>COUNTIF($J$1:J183,"!")</f>
        <v>12</v>
      </c>
      <c r="B183" s="163" t="str">
        <f>IFERROR(VLOOKUP(C183,元件库!$B:$O,3,FALSE),"")</f>
        <v>刀开关</v>
      </c>
      <c r="C183" s="164" t="s">
        <v>2849</v>
      </c>
      <c r="D183" s="165" t="str">
        <f>IFERROR(VLOOKUP(C183,元件库!$B:$O,2,FALSE),"")</f>
        <v>精益联合集团</v>
      </c>
      <c r="E183" s="166" t="str">
        <f t="shared" si="69"/>
        <v>只</v>
      </c>
      <c r="F183" s="166">
        <v>1</v>
      </c>
      <c r="G183" s="42">
        <f t="shared" si="70"/>
        <v>192.50000000000003</v>
      </c>
      <c r="H183" s="42">
        <f t="shared" si="71"/>
        <v>192.50000000000003</v>
      </c>
      <c r="I183" s="167"/>
      <c r="J183" s="168">
        <f t="shared" ref="J183:J193" si="74">P$1</f>
        <v>1</v>
      </c>
      <c r="K183" s="169">
        <f t="shared" si="72"/>
        <v>192.50000000000003</v>
      </c>
      <c r="L183" s="170">
        <f>IFERROR(VLOOKUP(C183,元件库!$B:$O,10,FALSE),"1.00")</f>
        <v>0.55000000000000004</v>
      </c>
      <c r="M183" s="171">
        <f>IFERROR(VLOOKUP(C183,元件库!$B:$O,11,FALSE),"")</f>
        <v>350</v>
      </c>
      <c r="N183" s="172" t="str">
        <f t="shared" ca="1" si="73"/>
        <v/>
      </c>
      <c r="P183" s="161"/>
    </row>
    <row r="184" spans="1:23" s="173" customFormat="1" ht="16.5" customHeight="1" x14ac:dyDescent="0.2">
      <c r="A184" s="38">
        <f>COUNTIF($J$1:J184,"!")</f>
        <v>12</v>
      </c>
      <c r="B184" s="163" t="str">
        <f>IFERROR(VLOOKUP(C184,元件库!$B:$O,3,FALSE),"")</f>
        <v/>
      </c>
      <c r="C184" s="164" t="s">
        <v>3128</v>
      </c>
      <c r="D184" s="165" t="str">
        <f>IFERROR(VLOOKUP(C184,元件库!$B:$O,2,FALSE),"")</f>
        <v/>
      </c>
      <c r="E184" s="166" t="str">
        <f t="shared" si="69"/>
        <v>只</v>
      </c>
      <c r="F184" s="166">
        <v>3</v>
      </c>
      <c r="G184" s="42" t="str">
        <f t="shared" si="70"/>
        <v/>
      </c>
      <c r="H184" s="42" t="str">
        <f t="shared" si="71"/>
        <v/>
      </c>
      <c r="I184" s="167"/>
      <c r="J184" s="168">
        <f t="shared" si="74"/>
        <v>1</v>
      </c>
      <c r="K184" s="169" t="str">
        <f t="shared" si="72"/>
        <v/>
      </c>
      <c r="L184" s="170" t="str">
        <f>IFERROR(VLOOKUP(C184,元件库!$B:$O,10,FALSE),"1.00")</f>
        <v>1.00</v>
      </c>
      <c r="M184" s="171" t="str">
        <f>IFERROR(VLOOKUP(C184,元件库!$B:$O,11,FALSE),"")</f>
        <v/>
      </c>
      <c r="N184" s="172" t="str">
        <f t="shared" ca="1" si="73"/>
        <v/>
      </c>
      <c r="P184" s="161"/>
    </row>
    <row r="185" spans="1:23" s="173" customFormat="1" ht="16.5" customHeight="1" x14ac:dyDescent="0.2">
      <c r="A185" s="38">
        <f>COUNTIF($J$1:J185,"!")</f>
        <v>12</v>
      </c>
      <c r="B185" s="163" t="str">
        <f>IFERROR(VLOOKUP(C185,元件库!$B:$O,3,FALSE),"")</f>
        <v>电流.电压表</v>
      </c>
      <c r="C185" s="164" t="s">
        <v>1899</v>
      </c>
      <c r="D185" s="165" t="str">
        <f>IFERROR(VLOOKUP(C185,元件库!$B:$O,2,FALSE),"")</f>
        <v>精益联合集团</v>
      </c>
      <c r="E185" s="166" t="str">
        <f t="shared" si="69"/>
        <v>只</v>
      </c>
      <c r="F185" s="166">
        <v>6</v>
      </c>
      <c r="G185" s="42">
        <f t="shared" si="70"/>
        <v>13.750000000000002</v>
      </c>
      <c r="H185" s="42">
        <f t="shared" si="71"/>
        <v>82.500000000000014</v>
      </c>
      <c r="I185" s="167"/>
      <c r="J185" s="168">
        <f t="shared" si="74"/>
        <v>1</v>
      </c>
      <c r="K185" s="169">
        <f t="shared" si="72"/>
        <v>13.750000000000002</v>
      </c>
      <c r="L185" s="170">
        <f>IFERROR(VLOOKUP(C185,元件库!$B:$O,10,FALSE),"1.00")</f>
        <v>0.55000000000000004</v>
      </c>
      <c r="M185" s="171">
        <f>IFERROR(VLOOKUP(C185,元件库!$B:$O,11,FALSE),"")</f>
        <v>25</v>
      </c>
      <c r="N185" s="172" t="str">
        <f t="shared" ca="1" si="73"/>
        <v/>
      </c>
      <c r="P185" s="161"/>
    </row>
    <row r="186" spans="1:23" s="173" customFormat="1" ht="16.5" customHeight="1" x14ac:dyDescent="0.2">
      <c r="A186" s="38">
        <f>COUNTIF($J$1:J186,"!")</f>
        <v>12</v>
      </c>
      <c r="B186" s="163" t="str">
        <f>IFERROR(VLOOKUP(C186,元件库!$B:$O,3,FALSE),"")</f>
        <v>氧化锌避雷器</v>
      </c>
      <c r="C186" s="164" t="s">
        <v>3048</v>
      </c>
      <c r="D186" s="165" t="str">
        <f>IFERROR(VLOOKUP(C186,元件库!$B:$O,2,FALSE),"")</f>
        <v>精益联合集团</v>
      </c>
      <c r="E186" s="166" t="str">
        <f t="shared" si="69"/>
        <v>只</v>
      </c>
      <c r="F186" s="166">
        <v>3</v>
      </c>
      <c r="G186" s="42">
        <f t="shared" si="70"/>
        <v>9.9</v>
      </c>
      <c r="H186" s="42">
        <f t="shared" si="71"/>
        <v>29.700000000000003</v>
      </c>
      <c r="I186" s="167"/>
      <c r="J186" s="168">
        <f t="shared" si="74"/>
        <v>1</v>
      </c>
      <c r="K186" s="169">
        <f t="shared" si="72"/>
        <v>9.9</v>
      </c>
      <c r="L186" s="170">
        <f>IFERROR(VLOOKUP(C186,元件库!$B:$O,10,FALSE),"1.00")</f>
        <v>0.55000000000000004</v>
      </c>
      <c r="M186" s="171">
        <f>IFERROR(VLOOKUP(C186,元件库!$B:$O,11,FALSE),"")</f>
        <v>18</v>
      </c>
      <c r="N186" s="172" t="str">
        <f t="shared" ca="1" si="73"/>
        <v/>
      </c>
      <c r="P186" s="161"/>
    </row>
    <row r="187" spans="1:23" s="173" customFormat="1" ht="16.5" customHeight="1" x14ac:dyDescent="0.2">
      <c r="A187" s="38">
        <f>COUNTIF($J$1:J187,"!")</f>
        <v>12</v>
      </c>
      <c r="B187" s="163" t="str">
        <f>IFERROR(VLOOKUP(C187,元件库!$B:$O,3,FALSE),"")</f>
        <v>智能电容器</v>
      </c>
      <c r="C187" s="164" t="s">
        <v>3141</v>
      </c>
      <c r="D187" s="165" t="str">
        <f>IFERROR(VLOOKUP(C187,元件库!$B:$O,2,FALSE),"")</f>
        <v>九康电气</v>
      </c>
      <c r="E187" s="166" t="str">
        <f t="shared" si="69"/>
        <v>只</v>
      </c>
      <c r="F187" s="166">
        <v>6</v>
      </c>
      <c r="G187" s="42">
        <f t="shared" si="70"/>
        <v>695</v>
      </c>
      <c r="H187" s="42">
        <f t="shared" si="71"/>
        <v>4170</v>
      </c>
      <c r="I187" s="167"/>
      <c r="J187" s="168">
        <f t="shared" si="74"/>
        <v>1</v>
      </c>
      <c r="K187" s="169">
        <f t="shared" si="72"/>
        <v>695</v>
      </c>
      <c r="L187" s="170">
        <f>IFERROR(VLOOKUP(C187,元件库!$B:$O,10,FALSE),"1.00")</f>
        <v>1</v>
      </c>
      <c r="M187" s="171">
        <f>IFERROR(VLOOKUP(C187,元件库!$B:$O,11,FALSE),"")</f>
        <v>695</v>
      </c>
      <c r="N187" s="172" t="str">
        <f t="shared" ca="1" si="73"/>
        <v/>
      </c>
      <c r="P187" s="161"/>
    </row>
    <row r="188" spans="1:23" s="173" customFormat="1" ht="16.5" customHeight="1" x14ac:dyDescent="0.2">
      <c r="A188" s="38">
        <f>COUNTIF($J$1:J188,"!")</f>
        <v>12</v>
      </c>
      <c r="B188" s="163" t="str">
        <f>IFERROR(VLOOKUP(C188,元件库!$B:$O,3,FALSE),"")</f>
        <v>补偿控制器</v>
      </c>
      <c r="C188" s="164" t="s">
        <v>3129</v>
      </c>
      <c r="D188" s="165" t="str">
        <f>IFERROR(VLOOKUP(C188,元件库!$B:$O,2,FALSE),"")</f>
        <v>九康电气</v>
      </c>
      <c r="E188" s="166" t="str">
        <f t="shared" si="69"/>
        <v>只</v>
      </c>
      <c r="F188" s="166">
        <v>1</v>
      </c>
      <c r="G188" s="42">
        <f t="shared" si="70"/>
        <v>320</v>
      </c>
      <c r="H188" s="42">
        <f t="shared" si="71"/>
        <v>320</v>
      </c>
      <c r="I188" s="167"/>
      <c r="J188" s="168">
        <f t="shared" si="74"/>
        <v>1</v>
      </c>
      <c r="K188" s="169">
        <f t="shared" si="72"/>
        <v>320</v>
      </c>
      <c r="L188" s="170">
        <f>IFERROR(VLOOKUP(C188,元件库!$B:$O,10,FALSE),"1.00")</f>
        <v>1</v>
      </c>
      <c r="M188" s="171">
        <f>IFERROR(VLOOKUP(C188,元件库!$B:$O,11,FALSE),"")</f>
        <v>320</v>
      </c>
      <c r="N188" s="172" t="str">
        <f t="shared" ca="1" si="73"/>
        <v/>
      </c>
      <c r="P188" s="161"/>
    </row>
    <row r="189" spans="1:23" s="173" customFormat="1" ht="16.5" customHeight="1" x14ac:dyDescent="0.2">
      <c r="A189" s="38">
        <f>COUNTIF($J$1:J189,"!")</f>
        <v>12</v>
      </c>
      <c r="B189" s="163" t="str">
        <f>IFERROR(VLOOKUP(C189,元件库!$B:$O,3,FALSE),"")</f>
        <v>指示灯</v>
      </c>
      <c r="C189" s="164" t="s">
        <v>3044</v>
      </c>
      <c r="D189" s="165" t="str">
        <f>IFERROR(VLOOKUP(C189,元件库!$B:$O,2,FALSE),"")</f>
        <v>精益联合集团</v>
      </c>
      <c r="E189" s="166" t="str">
        <f t="shared" si="69"/>
        <v>只</v>
      </c>
      <c r="F189" s="166">
        <v>6</v>
      </c>
      <c r="G189" s="42">
        <f t="shared" si="70"/>
        <v>2.3100000000000005</v>
      </c>
      <c r="H189" s="42">
        <f t="shared" si="71"/>
        <v>13.860000000000003</v>
      </c>
      <c r="I189" s="167"/>
      <c r="J189" s="168">
        <f t="shared" si="74"/>
        <v>1</v>
      </c>
      <c r="K189" s="169">
        <f t="shared" si="72"/>
        <v>2.3100000000000005</v>
      </c>
      <c r="L189" s="170">
        <f>IFERROR(VLOOKUP(C189,元件库!$B:$O,10,FALSE),"1.00")</f>
        <v>0.55000000000000004</v>
      </c>
      <c r="M189" s="171">
        <f>IFERROR(VLOOKUP(C189,元件库!$B:$O,11,FALSE),"")</f>
        <v>4.2</v>
      </c>
      <c r="N189" s="172" t="str">
        <f t="shared" ca="1" si="73"/>
        <v/>
      </c>
      <c r="P189" s="161"/>
    </row>
    <row r="190" spans="1:23" s="173" customFormat="1" ht="16.5" customHeight="1" x14ac:dyDescent="0.2">
      <c r="A190" s="38">
        <f>COUNTIF($J$1:J190,"!")</f>
        <v>12</v>
      </c>
      <c r="B190" s="163" t="str">
        <f>IFERROR(VLOOKUP(C190,元件库!$B:$O,3,FALSE),"")</f>
        <v>铜排</v>
      </c>
      <c r="C190" s="164" t="s">
        <v>1910</v>
      </c>
      <c r="D190" s="165" t="str">
        <f>IFERROR(VLOOKUP(C190,元件库!$B:$O,2,FALSE),"")</f>
        <v>欣利铜材</v>
      </c>
      <c r="E190" s="166" t="str">
        <f t="shared" si="69"/>
        <v>米</v>
      </c>
      <c r="F190" s="166">
        <v>6</v>
      </c>
      <c r="G190" s="42">
        <f t="shared" si="70"/>
        <v>45.656999999999996</v>
      </c>
      <c r="H190" s="42">
        <f t="shared" si="71"/>
        <v>273.94200000000001</v>
      </c>
      <c r="I190" s="167"/>
      <c r="J190" s="168">
        <f t="shared" si="74"/>
        <v>1</v>
      </c>
      <c r="K190" s="169">
        <f t="shared" si="72"/>
        <v>45.656999999999996</v>
      </c>
      <c r="L190" s="170">
        <f>IFERROR(VLOOKUP(C190,元件库!$B:$O,10,FALSE),"1.00")</f>
        <v>1</v>
      </c>
      <c r="M190" s="171">
        <f>IFERROR(VLOOKUP(C190,元件库!$B:$O,11,FALSE),"")</f>
        <v>45.656999999999996</v>
      </c>
      <c r="N190" s="172" t="str">
        <f t="shared" ca="1" si="73"/>
        <v/>
      </c>
      <c r="P190" s="161"/>
    </row>
    <row r="191" spans="1:23" s="175" customFormat="1" ht="16.5" customHeight="1" x14ac:dyDescent="0.2">
      <c r="A191" s="38">
        <f>COUNTIF($J$1:J191,"!")</f>
        <v>12</v>
      </c>
      <c r="B191" s="163" t="s">
        <v>2171</v>
      </c>
      <c r="C191" s="164" t="s">
        <v>2673</v>
      </c>
      <c r="D191" s="165" t="str">
        <f>IFERROR(VLOOKUP(C191,元件库!$B:$O,2,FALSE),"")</f>
        <v>欣利铜材</v>
      </c>
      <c r="E191" s="166" t="str">
        <f t="shared" si="69"/>
        <v>米</v>
      </c>
      <c r="F191" s="166">
        <f>1*(MID(O191,FIND("-",O191)+1,FIND("*",O191)-FIND("-",O191)-1)/1000*IF(B191="水平排",3,1))</f>
        <v>2.4000000000000004</v>
      </c>
      <c r="G191" s="42">
        <f t="shared" si="70"/>
        <v>126.82499999999999</v>
      </c>
      <c r="H191" s="42">
        <f t="shared" si="71"/>
        <v>304.38</v>
      </c>
      <c r="I191" s="167"/>
      <c r="J191" s="168">
        <f t="shared" si="74"/>
        <v>1</v>
      </c>
      <c r="K191" s="169">
        <f t="shared" si="72"/>
        <v>126.82499999999999</v>
      </c>
      <c r="L191" s="170">
        <f>IFERROR(VLOOKUP(C191,元件库!$B:$O,10,FALSE),"1.00")</f>
        <v>1</v>
      </c>
      <c r="M191" s="171">
        <f>IFERROR(VLOOKUP(C191,元件库!$B:$O,11,FALSE),"")</f>
        <v>126.82499999999999</v>
      </c>
      <c r="N191" s="172" t="str">
        <f t="shared" ca="1" si="73"/>
        <v/>
      </c>
      <c r="O191" s="174" t="str">
        <f>O195</f>
        <v>GGD-800*600*2000</v>
      </c>
    </row>
    <row r="192" spans="1:23" s="175" customFormat="1" ht="16.5" customHeight="1" x14ac:dyDescent="0.2">
      <c r="A192" s="38">
        <f>COUNTIF($J$1:J192,"!")</f>
        <v>12</v>
      </c>
      <c r="B192" s="163" t="s">
        <v>2725</v>
      </c>
      <c r="C192" s="164" t="s">
        <v>2326</v>
      </c>
      <c r="D192" s="165" t="str">
        <f>IFERROR(VLOOKUP(C192,元件库!$B:$O,2,FALSE),"")</f>
        <v>欣利铜材</v>
      </c>
      <c r="E192" s="166" t="str">
        <f t="shared" si="69"/>
        <v>米</v>
      </c>
      <c r="F192" s="166">
        <f>1*(MID(O192,FIND("-",O192)+1,FIND("*",O192)-FIND("-",O192)-1)/1000*IF(B192="水平排",3,1))</f>
        <v>0.8</v>
      </c>
      <c r="G192" s="42">
        <f t="shared" si="70"/>
        <v>81.167999999999992</v>
      </c>
      <c r="H192" s="42">
        <f t="shared" si="71"/>
        <v>64.934399999999997</v>
      </c>
      <c r="I192" s="167"/>
      <c r="J192" s="168">
        <f t="shared" si="74"/>
        <v>1</v>
      </c>
      <c r="K192" s="169">
        <f t="shared" si="72"/>
        <v>81.167999999999992</v>
      </c>
      <c r="L192" s="170">
        <f>IFERROR(VLOOKUP(C192,元件库!$B:$O,10,FALSE),"1.00")</f>
        <v>1</v>
      </c>
      <c r="M192" s="171">
        <f>IFERROR(VLOOKUP(C192,元件库!$B:$O,11,FALSE),"")</f>
        <v>81.167999999999992</v>
      </c>
      <c r="N192" s="172" t="str">
        <f t="shared" ca="1" si="73"/>
        <v/>
      </c>
      <c r="O192" s="176" t="str">
        <f>O195</f>
        <v>GGD-800*600*2000</v>
      </c>
    </row>
    <row r="193" spans="1:19" s="175" customFormat="1" ht="16.5" customHeight="1" x14ac:dyDescent="0.2">
      <c r="A193" s="38">
        <f>COUNTIF($J$1:J193,"!")</f>
        <v>12</v>
      </c>
      <c r="B193" s="163" t="s">
        <v>2172</v>
      </c>
      <c r="C193" s="164" t="s">
        <v>2326</v>
      </c>
      <c r="D193" s="165" t="str">
        <f>IFERROR(VLOOKUP(C193,元件库!$B:$O,2,FALSE),"")</f>
        <v>欣利铜材</v>
      </c>
      <c r="E193" s="166" t="str">
        <f t="shared" si="69"/>
        <v>米</v>
      </c>
      <c r="F193" s="166">
        <f>1*(MID(O193,FIND("-",O193)+1,FIND("*",O193)-FIND("-",O193)-1)/1000*IF(B193="水平排",3,1))</f>
        <v>0.8</v>
      </c>
      <c r="G193" s="42">
        <f t="shared" si="70"/>
        <v>81.167999999999992</v>
      </c>
      <c r="H193" s="42">
        <f t="shared" si="71"/>
        <v>64.934399999999997</v>
      </c>
      <c r="I193" s="167"/>
      <c r="J193" s="168">
        <f t="shared" si="74"/>
        <v>1</v>
      </c>
      <c r="K193" s="169">
        <f t="shared" si="72"/>
        <v>81.167999999999992</v>
      </c>
      <c r="L193" s="170">
        <f>IFERROR(VLOOKUP(C193,元件库!$B:$O,10,FALSE),"1.00")</f>
        <v>1</v>
      </c>
      <c r="M193" s="171">
        <f>IFERROR(VLOOKUP(C193,元件库!$B:$O,11,FALSE),"")</f>
        <v>81.167999999999992</v>
      </c>
      <c r="N193" s="172" t="str">
        <f t="shared" ca="1" si="73"/>
        <v/>
      </c>
      <c r="O193" s="176" t="str">
        <f>O195</f>
        <v>GGD-800*600*2000</v>
      </c>
    </row>
    <row r="194" spans="1:19" ht="16.5" customHeight="1" x14ac:dyDescent="0.2">
      <c r="A194" s="38">
        <f>COUNTIF($J$1:J194,"!")</f>
        <v>12</v>
      </c>
      <c r="B194" s="177" t="s">
        <v>107</v>
      </c>
      <c r="C194" s="164"/>
      <c r="D194" s="166"/>
      <c r="E194" s="166"/>
      <c r="F194" s="166"/>
      <c r="G194" s="42"/>
      <c r="H194" s="42"/>
      <c r="I194" s="178">
        <f>SUM(H182:H194)</f>
        <v>7066.7507999999998</v>
      </c>
      <c r="J194" s="168"/>
      <c r="K194" s="169"/>
      <c r="L194" s="170"/>
      <c r="M194" s="171"/>
      <c r="O194" s="174"/>
      <c r="P194" s="162"/>
    </row>
    <row r="195" spans="1:19" ht="16.5" customHeight="1" x14ac:dyDescent="0.2">
      <c r="A195" s="38">
        <f>COUNTIF($J$1:J195,"!")</f>
        <v>12</v>
      </c>
      <c r="B195" s="179" t="s">
        <v>47</v>
      </c>
      <c r="C195" s="164"/>
      <c r="D195" s="166"/>
      <c r="E195" s="166"/>
      <c r="F195" s="166"/>
      <c r="G195" s="42"/>
      <c r="H195" s="42">
        <f>IFERROR(J195*K195,"")</f>
        <v>800</v>
      </c>
      <c r="I195" s="167"/>
      <c r="J195" s="168">
        <f>P$1</f>
        <v>1</v>
      </c>
      <c r="K195" s="169">
        <f>L195*M195</f>
        <v>800</v>
      </c>
      <c r="L195" s="170" t="str">
        <f>IFERROR(VLOOKUP(C195,元件库!$B:$O,10,FALSE),"1.00")</f>
        <v>1.00</v>
      </c>
      <c r="M195" s="171">
        <f>IF(B195="成套费",IF(ISNUMBER(FIND("GGD",O195)),800,IF(OR(ISNUMBER(FIND("GCS",O195)),ISNUMBER(FIND("GCK",O195)),ISNUMBER(FIND("MNS",O195))),1000,"")),IF(B195="辅件费",IF(VLOOKUP(A196,A$1:B195,2,FALSE)="低压电容柜",500,300),""))</f>
        <v>800</v>
      </c>
      <c r="O195" s="180" t="str">
        <f>C182</f>
        <v>GGD-800*600*2000</v>
      </c>
    </row>
    <row r="196" spans="1:19" s="161" customFormat="1" ht="16.5" customHeight="1" x14ac:dyDescent="0.2">
      <c r="A196" s="38">
        <f>COUNTIF($J$1:J196,"!")</f>
        <v>12</v>
      </c>
      <c r="B196" s="179" t="s">
        <v>49</v>
      </c>
      <c r="C196" s="164"/>
      <c r="D196" s="166"/>
      <c r="E196" s="166"/>
      <c r="F196" s="166"/>
      <c r="G196" s="42"/>
      <c r="H196" s="42">
        <f>IFERROR(J196*K196,"")</f>
        <v>500</v>
      </c>
      <c r="I196" s="167"/>
      <c r="J196" s="168">
        <f>P$1</f>
        <v>1</v>
      </c>
      <c r="K196" s="169">
        <f>L196*M196</f>
        <v>500</v>
      </c>
      <c r="L196" s="170" t="str">
        <f>IFERROR(VLOOKUP(C196,元件库!$B:$O,10,FALSE),"1.00")</f>
        <v>1.00</v>
      </c>
      <c r="M196" s="171">
        <f>IF(B196="成套费",IF(ISNUMBER(FIND("GGD",O196)),800,IF(OR(ISNUMBER(FIND("GCS",O196)),ISNUMBER(FIND("GCK",O196)),ISNUMBER(FIND("MNS",O196))),1000,"")),IF(B196="辅件费",IF(VLOOKUP(A196,A$1:B196,2,FALSE)="低压电容柜",500,300),""))</f>
        <v>500</v>
      </c>
      <c r="N196" s="181"/>
      <c r="O196" s="182" t="str">
        <f>O195</f>
        <v>GGD-800*600*2000</v>
      </c>
      <c r="R196" s="162"/>
      <c r="S196" s="162"/>
    </row>
    <row r="197" spans="1:19" s="161" customFormat="1" ht="16.5" customHeight="1" x14ac:dyDescent="0.2">
      <c r="A197" s="38">
        <f>COUNTIF($J$1:J197,"!")</f>
        <v>12</v>
      </c>
      <c r="B197" s="179" t="s">
        <v>79</v>
      </c>
      <c r="C197" s="164"/>
      <c r="D197" s="166"/>
      <c r="E197" s="166"/>
      <c r="F197" s="166"/>
      <c r="G197" s="42"/>
      <c r="H197" s="42">
        <f>K197*L197</f>
        <v>1004.010096</v>
      </c>
      <c r="I197" s="167"/>
      <c r="J197" s="168"/>
      <c r="K197" s="169">
        <f>SUM(H194:H196)+I194</f>
        <v>8366.7507999999998</v>
      </c>
      <c r="L197" s="279">
        <f>R$1</f>
        <v>0.12</v>
      </c>
      <c r="M197" s="171"/>
      <c r="N197" s="181"/>
      <c r="O197" s="162"/>
      <c r="R197" s="162"/>
      <c r="S197" s="162"/>
    </row>
    <row r="198" spans="1:19" ht="16.5" customHeight="1" x14ac:dyDescent="0.2">
      <c r="A198" s="38">
        <f>COUNTIF($J$1:J198,"!")</f>
        <v>12</v>
      </c>
      <c r="B198" s="179" t="s">
        <v>108</v>
      </c>
      <c r="C198" s="164"/>
      <c r="D198" s="166"/>
      <c r="E198" s="166"/>
      <c r="F198" s="166"/>
      <c r="G198" s="184"/>
      <c r="H198" s="42">
        <f>K198*L198</f>
        <v>281.12282687999999</v>
      </c>
      <c r="I198" s="167"/>
      <c r="J198" s="168"/>
      <c r="K198" s="169">
        <f>H197+K197</f>
        <v>9370.7608959999998</v>
      </c>
      <c r="L198" s="279">
        <f>T$1</f>
        <v>0.03</v>
      </c>
      <c r="M198" s="171"/>
      <c r="O198" s="162"/>
    </row>
    <row r="199" spans="1:19" ht="16.5" customHeight="1" x14ac:dyDescent="0.15">
      <c r="A199" s="32">
        <f>COUNTIF($J$1:J199,"!")</f>
        <v>13</v>
      </c>
      <c r="B199" s="33" t="s">
        <v>2726</v>
      </c>
      <c r="C199" s="158" t="s">
        <v>3142</v>
      </c>
      <c r="D199" s="159" t="s">
        <v>2335</v>
      </c>
      <c r="E199" s="34" t="s">
        <v>23</v>
      </c>
      <c r="F199" s="159">
        <v>1</v>
      </c>
      <c r="G199" s="36">
        <f>ROUND(SUM(H200:H217),0)</f>
        <v>7474</v>
      </c>
      <c r="H199" s="160" t="str">
        <f>IF(ISNUMBER(FIND(" ",C200)),MID(C200,1,FIND(" ",C200)-1),IF(ISNUMBER(FIND("电容柜",B199)),"GGJ",MID(C200,1,FIND("-",C200)-1)))</f>
        <v>GGD</v>
      </c>
      <c r="I199" s="47" t="str">
        <f>MID(C200,IF(LEN(C200)-LEN(H199)&gt;3,LEN(H199)+2,1),30)</f>
        <v>1000*600*2000</v>
      </c>
      <c r="J199" s="48" t="s">
        <v>24</v>
      </c>
      <c r="K199" s="49"/>
      <c r="L199" s="50"/>
      <c r="M199" s="51"/>
      <c r="O199" s="162"/>
    </row>
    <row r="200" spans="1:19" ht="16.5" customHeight="1" x14ac:dyDescent="0.2">
      <c r="A200" s="38">
        <f>COUNTIF($J$1:J200,"!")</f>
        <v>13</v>
      </c>
      <c r="B200" s="163" t="str">
        <f>IFERROR(VLOOKUP(C200,元件库!$B:$O,3,FALSE),"")</f>
        <v>壳体W*D*H</v>
      </c>
      <c r="C200" s="164" t="s">
        <v>3143</v>
      </c>
      <c r="D200" s="165" t="str">
        <f>IFERROR(VLOOKUP(C200,元件库!$B:$O,2,FALSE),"")</f>
        <v>精益联合集团</v>
      </c>
      <c r="E200" s="166" t="str">
        <f t="shared" ref="E200:E212" si="75">IF(D200="欣利铜材","米",IF(B200="熔断器","套","只"))</f>
        <v>只</v>
      </c>
      <c r="F200" s="166">
        <v>1</v>
      </c>
      <c r="G200" s="42">
        <f t="shared" ref="G200:G212" si="76">IFERROR(J200*K200,"")</f>
        <v>1700</v>
      </c>
      <c r="H200" s="42">
        <f t="shared" ref="H200:H212" si="77">IFERROR(G200*F200,"")</f>
        <v>1700</v>
      </c>
      <c r="I200" s="167"/>
      <c r="J200" s="168">
        <f>P$1</f>
        <v>1</v>
      </c>
      <c r="K200" s="169">
        <f t="shared" ref="K200:K212" si="78">IFERROR(M200*L200,"")</f>
        <v>1700</v>
      </c>
      <c r="L200" s="170">
        <f>IFERROR(VLOOKUP(C200,元件库!$B:$O,10,FALSE),"1.00")</f>
        <v>1</v>
      </c>
      <c r="M200" s="171">
        <f>IFERROR(VLOOKUP(C200,元件库!$B:$O,11,FALSE),"")</f>
        <v>1700</v>
      </c>
      <c r="N200" s="172" t="str">
        <f t="shared" ref="N200:N212" ca="1" si="79">IF(AND(ISNUMBER(FIND("IF",_xlfn.FORMULATEXT(L200))),ISNUMBER(FIND("IF",_xlfn.FORMULATEXT(M200)))),"","值")</f>
        <v/>
      </c>
      <c r="O200" s="157" t="str">
        <f>B199</f>
        <v>低压馈线柜</v>
      </c>
    </row>
    <row r="201" spans="1:19" s="173" customFormat="1" ht="16.5" customHeight="1" x14ac:dyDescent="0.2">
      <c r="A201" s="38">
        <f>COUNTIF($J$1:J201,"!")</f>
        <v>13</v>
      </c>
      <c r="B201" s="163" t="str">
        <f>IFERROR(VLOOKUP(C201,元件库!$B:$O,3,FALSE),"")</f>
        <v>刀开关</v>
      </c>
      <c r="C201" s="164" t="s">
        <v>3047</v>
      </c>
      <c r="D201" s="165" t="str">
        <f>IFERROR(VLOOKUP(C201,元件库!$B:$O,2,FALSE),"")</f>
        <v>精益联合集团</v>
      </c>
      <c r="E201" s="166" t="str">
        <f t="shared" si="75"/>
        <v>只</v>
      </c>
      <c r="F201" s="166">
        <v>1</v>
      </c>
      <c r="G201" s="42">
        <f t="shared" si="76"/>
        <v>324.5</v>
      </c>
      <c r="H201" s="42">
        <f t="shared" si="77"/>
        <v>324.5</v>
      </c>
      <c r="I201" s="167"/>
      <c r="J201" s="168">
        <f t="shared" ref="J201:J212" si="80">P$1</f>
        <v>1</v>
      </c>
      <c r="K201" s="169">
        <f t="shared" si="78"/>
        <v>324.5</v>
      </c>
      <c r="L201" s="170">
        <f>IFERROR(VLOOKUP(C201,元件库!$B:$O,10,FALSE),"1.00")</f>
        <v>0.55000000000000004</v>
      </c>
      <c r="M201" s="171">
        <f>IFERROR(VLOOKUP(C201,元件库!$B:$O,11,FALSE),"")</f>
        <v>590</v>
      </c>
      <c r="N201" s="172" t="str">
        <f t="shared" ca="1" si="79"/>
        <v/>
      </c>
      <c r="P201" s="161"/>
    </row>
    <row r="202" spans="1:19" s="173" customFormat="1" ht="16.5" customHeight="1" x14ac:dyDescent="0.2">
      <c r="A202" s="38">
        <f>COUNTIF($J$1:J202,"!")</f>
        <v>13</v>
      </c>
      <c r="B202" s="163" t="str">
        <f>IFERROR(VLOOKUP(C202,元件库!$B:$O,3,FALSE),"")</f>
        <v>塑壳断路器</v>
      </c>
      <c r="C202" s="164" t="s">
        <v>3131</v>
      </c>
      <c r="D202" s="165" t="str">
        <f>IFERROR(VLOOKUP(C202,元件库!$B:$O,2,FALSE),"")</f>
        <v>吉坤电气</v>
      </c>
      <c r="E202" s="166" t="str">
        <f t="shared" si="75"/>
        <v>只</v>
      </c>
      <c r="F202" s="166">
        <v>4</v>
      </c>
      <c r="G202" s="42">
        <f t="shared" si="76"/>
        <v>329</v>
      </c>
      <c r="H202" s="42">
        <f t="shared" si="77"/>
        <v>1316</v>
      </c>
      <c r="I202" s="167"/>
      <c r="J202" s="168">
        <f t="shared" si="80"/>
        <v>1</v>
      </c>
      <c r="K202" s="169">
        <f t="shared" si="78"/>
        <v>329</v>
      </c>
      <c r="L202" s="170">
        <f>IFERROR(VLOOKUP(C202,元件库!$B:$O,10,FALSE),"1.00")</f>
        <v>1</v>
      </c>
      <c r="M202" s="171">
        <f>IFERROR(VLOOKUP(C202,元件库!$B:$O,11,FALSE),"")</f>
        <v>329</v>
      </c>
      <c r="N202" s="172" t="str">
        <f t="shared" ca="1" si="79"/>
        <v/>
      </c>
      <c r="P202" s="161"/>
    </row>
    <row r="203" spans="1:19" s="173" customFormat="1" ht="16.5" customHeight="1" x14ac:dyDescent="0.2">
      <c r="A203" s="38">
        <f>COUNTIF($J$1:J203,"!")</f>
        <v>13</v>
      </c>
      <c r="B203" s="163" t="str">
        <f>IFERROR(VLOOKUP(C203,元件库!$B:$O,3,FALSE),"")</f>
        <v>塑壳断路器</v>
      </c>
      <c r="C203" s="164" t="s">
        <v>3132</v>
      </c>
      <c r="D203" s="165" t="str">
        <f>IFERROR(VLOOKUP(C203,元件库!$B:$O,2,FALSE),"")</f>
        <v>吉坤电气</v>
      </c>
      <c r="E203" s="166" t="str">
        <f t="shared" si="75"/>
        <v>只</v>
      </c>
      <c r="F203" s="166">
        <v>1</v>
      </c>
      <c r="G203" s="42">
        <f t="shared" si="76"/>
        <v>86</v>
      </c>
      <c r="H203" s="42">
        <f t="shared" si="77"/>
        <v>86</v>
      </c>
      <c r="I203" s="167"/>
      <c r="J203" s="168">
        <f t="shared" si="80"/>
        <v>1</v>
      </c>
      <c r="K203" s="169">
        <f t="shared" si="78"/>
        <v>86</v>
      </c>
      <c r="L203" s="170">
        <f>IFERROR(VLOOKUP(C203,元件库!$B:$O,10,FALSE),"1.00")</f>
        <v>1</v>
      </c>
      <c r="M203" s="171">
        <f>IFERROR(VLOOKUP(C203,元件库!$B:$O,11,FALSE),"")</f>
        <v>86</v>
      </c>
      <c r="N203" s="172" t="str">
        <f t="shared" ca="1" si="79"/>
        <v/>
      </c>
      <c r="P203" s="161"/>
    </row>
    <row r="204" spans="1:19" s="173" customFormat="1" ht="16.5" customHeight="1" x14ac:dyDescent="0.2">
      <c r="A204" s="38">
        <f>COUNTIF($J$1:J204,"!")</f>
        <v>13</v>
      </c>
      <c r="B204" s="163" t="str">
        <f>IFERROR(VLOOKUP(C204,元件库!$B:$O,3,FALSE),"")</f>
        <v/>
      </c>
      <c r="C204" s="164" t="s">
        <v>2143</v>
      </c>
      <c r="D204" s="165" t="str">
        <f>IFERROR(VLOOKUP(C204,元件库!$B:$O,2,FALSE),"")</f>
        <v/>
      </c>
      <c r="E204" s="166" t="str">
        <f t="shared" si="75"/>
        <v>只</v>
      </c>
      <c r="F204" s="166">
        <v>3</v>
      </c>
      <c r="G204" s="42" t="str">
        <f t="shared" si="76"/>
        <v/>
      </c>
      <c r="H204" s="42" t="str">
        <f t="shared" si="77"/>
        <v/>
      </c>
      <c r="I204" s="167"/>
      <c r="J204" s="168">
        <f t="shared" si="80"/>
        <v>1</v>
      </c>
      <c r="K204" s="169" t="str">
        <f t="shared" si="78"/>
        <v/>
      </c>
      <c r="L204" s="170" t="str">
        <f>IFERROR(VLOOKUP(C204,元件库!$B:$O,10,FALSE),"1.00")</f>
        <v>1.00</v>
      </c>
      <c r="M204" s="171" t="str">
        <f>IFERROR(VLOOKUP(C204,元件库!$B:$O,11,FALSE),"")</f>
        <v/>
      </c>
      <c r="N204" s="172" t="str">
        <f t="shared" ca="1" si="79"/>
        <v/>
      </c>
      <c r="P204" s="161"/>
    </row>
    <row r="205" spans="1:19" s="173" customFormat="1" ht="16.5" customHeight="1" x14ac:dyDescent="0.2">
      <c r="A205" s="38">
        <f>COUNTIF($J$1:J205,"!")</f>
        <v>13</v>
      </c>
      <c r="B205" s="163" t="str">
        <f>IFERROR(VLOOKUP(C205,元件库!$B:$O,3,FALSE),"")</f>
        <v>电流.电压表</v>
      </c>
      <c r="C205" s="164" t="s">
        <v>1899</v>
      </c>
      <c r="D205" s="165" t="str">
        <f>IFERROR(VLOOKUP(C205,元件库!$B:$O,2,FALSE),"")</f>
        <v>精益联合集团</v>
      </c>
      <c r="E205" s="166" t="str">
        <f t="shared" si="75"/>
        <v>只</v>
      </c>
      <c r="F205" s="166">
        <v>3</v>
      </c>
      <c r="G205" s="42">
        <f t="shared" si="76"/>
        <v>13.750000000000002</v>
      </c>
      <c r="H205" s="42">
        <f t="shared" si="77"/>
        <v>41.250000000000007</v>
      </c>
      <c r="I205" s="167"/>
      <c r="J205" s="168">
        <f t="shared" si="80"/>
        <v>1</v>
      </c>
      <c r="K205" s="169">
        <f t="shared" si="78"/>
        <v>13.750000000000002</v>
      </c>
      <c r="L205" s="170">
        <f>IFERROR(VLOOKUP(C205,元件库!$B:$O,10,FALSE),"1.00")</f>
        <v>0.55000000000000004</v>
      </c>
      <c r="M205" s="171">
        <f>IFERROR(VLOOKUP(C205,元件库!$B:$O,11,FALSE),"")</f>
        <v>25</v>
      </c>
      <c r="N205" s="172" t="str">
        <f t="shared" ca="1" si="79"/>
        <v/>
      </c>
      <c r="P205" s="161"/>
    </row>
    <row r="206" spans="1:19" s="173" customFormat="1" ht="16.5" customHeight="1" x14ac:dyDescent="0.2">
      <c r="A206" s="38">
        <f>COUNTIF($J$1:J206,"!")</f>
        <v>13</v>
      </c>
      <c r="B206" s="163" t="str">
        <f>IFERROR(VLOOKUP(C206,元件库!$B:$O,3,FALSE),"")</f>
        <v>指示灯</v>
      </c>
      <c r="C206" s="164" t="s">
        <v>3044</v>
      </c>
      <c r="D206" s="165" t="str">
        <f>IFERROR(VLOOKUP(C206,元件库!$B:$O,2,FALSE),"")</f>
        <v>精益联合集团</v>
      </c>
      <c r="E206" s="166" t="str">
        <f t="shared" si="75"/>
        <v>只</v>
      </c>
      <c r="F206" s="166">
        <v>5</v>
      </c>
      <c r="G206" s="42">
        <f t="shared" si="76"/>
        <v>2.3100000000000005</v>
      </c>
      <c r="H206" s="42">
        <f t="shared" si="77"/>
        <v>11.550000000000002</v>
      </c>
      <c r="I206" s="167"/>
      <c r="J206" s="168">
        <f t="shared" si="80"/>
        <v>1</v>
      </c>
      <c r="K206" s="169">
        <f t="shared" si="78"/>
        <v>2.3100000000000005</v>
      </c>
      <c r="L206" s="170">
        <f>IFERROR(VLOOKUP(C206,元件库!$B:$O,10,FALSE),"1.00")</f>
        <v>0.55000000000000004</v>
      </c>
      <c r="M206" s="171">
        <f>IFERROR(VLOOKUP(C206,元件库!$B:$O,11,FALSE),"")</f>
        <v>4.2</v>
      </c>
      <c r="N206" s="172" t="str">
        <f t="shared" ca="1" si="79"/>
        <v/>
      </c>
      <c r="P206" s="161"/>
    </row>
    <row r="207" spans="1:19" s="173" customFormat="1" ht="16.5" customHeight="1" x14ac:dyDescent="0.2">
      <c r="A207" s="38">
        <f>COUNTIF($J$1:J207,"!")</f>
        <v>13</v>
      </c>
      <c r="B207" s="163" t="str">
        <f>IFERROR(VLOOKUP(C207,元件库!$B:$O,3,FALSE),"")</f>
        <v>铜排</v>
      </c>
      <c r="C207" s="164" t="s">
        <v>2673</v>
      </c>
      <c r="D207" s="165" t="str">
        <f>IFERROR(VLOOKUP(C207,元件库!$B:$O,2,FALSE),"")</f>
        <v>欣利铜材</v>
      </c>
      <c r="E207" s="166" t="str">
        <f t="shared" si="75"/>
        <v>米</v>
      </c>
      <c r="F207" s="166">
        <v>6</v>
      </c>
      <c r="G207" s="42">
        <f t="shared" si="76"/>
        <v>126.82499999999999</v>
      </c>
      <c r="H207" s="42">
        <f t="shared" si="77"/>
        <v>760.94999999999993</v>
      </c>
      <c r="I207" s="167"/>
      <c r="J207" s="168">
        <f t="shared" si="80"/>
        <v>1</v>
      </c>
      <c r="K207" s="169">
        <f t="shared" si="78"/>
        <v>126.82499999999999</v>
      </c>
      <c r="L207" s="170">
        <f>IFERROR(VLOOKUP(C207,元件库!$B:$O,10,FALSE),"1.00")</f>
        <v>1</v>
      </c>
      <c r="M207" s="171">
        <f>IFERROR(VLOOKUP(C207,元件库!$B:$O,11,FALSE),"")</f>
        <v>126.82499999999999</v>
      </c>
      <c r="N207" s="172" t="str">
        <f t="shared" ca="1" si="79"/>
        <v/>
      </c>
      <c r="P207" s="161"/>
    </row>
    <row r="208" spans="1:19" s="173" customFormat="1" ht="16.5" customHeight="1" x14ac:dyDescent="0.2">
      <c r="A208" s="38">
        <f>COUNTIF($J$1:J208,"!")</f>
        <v>13</v>
      </c>
      <c r="B208" s="163" t="str">
        <f>IFERROR(VLOOKUP(C208,元件库!$B:$O,3,FALSE),"")</f>
        <v>铜排</v>
      </c>
      <c r="C208" s="164" t="s">
        <v>1887</v>
      </c>
      <c r="D208" s="165" t="str">
        <f>IFERROR(VLOOKUP(C208,元件库!$B:$O,2,FALSE),"")</f>
        <v>欣利铜材</v>
      </c>
      <c r="E208" s="166" t="str">
        <f t="shared" si="75"/>
        <v>米</v>
      </c>
      <c r="F208" s="166">
        <v>4.8</v>
      </c>
      <c r="G208" s="42">
        <f t="shared" si="76"/>
        <v>76.094999999999999</v>
      </c>
      <c r="H208" s="42">
        <f t="shared" si="77"/>
        <v>365.25599999999997</v>
      </c>
      <c r="I208" s="167"/>
      <c r="J208" s="168">
        <f t="shared" si="80"/>
        <v>1</v>
      </c>
      <c r="K208" s="169">
        <f t="shared" si="78"/>
        <v>76.094999999999999</v>
      </c>
      <c r="L208" s="170">
        <f>IFERROR(VLOOKUP(C208,元件库!$B:$O,10,FALSE),"1.00")</f>
        <v>1</v>
      </c>
      <c r="M208" s="171">
        <f>IFERROR(VLOOKUP(C208,元件库!$B:$O,11,FALSE),"")</f>
        <v>76.094999999999999</v>
      </c>
      <c r="N208" s="172" t="str">
        <f t="shared" ca="1" si="79"/>
        <v/>
      </c>
      <c r="P208" s="161"/>
    </row>
    <row r="209" spans="1:22" s="173" customFormat="1" ht="16.5" customHeight="1" x14ac:dyDescent="0.2">
      <c r="A209" s="38">
        <f>COUNTIF($J$1:J209,"!")</f>
        <v>13</v>
      </c>
      <c r="B209" s="163" t="str">
        <f>IFERROR(VLOOKUP(C209,元件库!$B:$O,3,FALSE),"")</f>
        <v>铜排</v>
      </c>
      <c r="C209" s="164" t="s">
        <v>3049</v>
      </c>
      <c r="D209" s="165" t="str">
        <f>IFERROR(VLOOKUP(C209,元件库!$B:$O,2,FALSE),"")</f>
        <v>欣利铜材</v>
      </c>
      <c r="E209" s="166" t="str">
        <f t="shared" si="75"/>
        <v>米</v>
      </c>
      <c r="F209" s="166">
        <v>1.2</v>
      </c>
      <c r="G209" s="42">
        <f t="shared" si="76"/>
        <v>22.828499999999998</v>
      </c>
      <c r="H209" s="42">
        <f t="shared" si="77"/>
        <v>27.394199999999998</v>
      </c>
      <c r="I209" s="167"/>
      <c r="J209" s="168">
        <f t="shared" si="80"/>
        <v>1</v>
      </c>
      <c r="K209" s="169">
        <f t="shared" si="78"/>
        <v>22.828499999999998</v>
      </c>
      <c r="L209" s="170">
        <f>IFERROR(VLOOKUP(C209,元件库!$B:$O,10,FALSE),"1.00")</f>
        <v>1</v>
      </c>
      <c r="M209" s="171">
        <f>IFERROR(VLOOKUP(C209,元件库!$B:$O,11,FALSE),"")</f>
        <v>22.828499999999998</v>
      </c>
      <c r="N209" s="172" t="str">
        <f t="shared" ca="1" si="79"/>
        <v/>
      </c>
      <c r="P209" s="161"/>
    </row>
    <row r="210" spans="1:22" s="175" customFormat="1" ht="16.5" customHeight="1" x14ac:dyDescent="0.2">
      <c r="A210" s="38">
        <f>COUNTIF($J$1:J210,"!")</f>
        <v>13</v>
      </c>
      <c r="B210" s="163" t="s">
        <v>2171</v>
      </c>
      <c r="C210" s="164" t="s">
        <v>2673</v>
      </c>
      <c r="D210" s="165" t="str">
        <f>IFERROR(VLOOKUP(C210,元件库!$B:$O,2,FALSE),"")</f>
        <v>欣利铜材</v>
      </c>
      <c r="E210" s="166" t="str">
        <f t="shared" si="75"/>
        <v>米</v>
      </c>
      <c r="F210" s="166">
        <f>1*(MID(O210,FIND("-",O210)+1,FIND("*",O210)-FIND("-",O210)-1)/1000*IF(B210="水平排",3,1)+IF(AND(B210="零母排",VLOOKUP(A210,A$1:B207,2,FALSE)="低压进线柜"),1.5,0))</f>
        <v>3</v>
      </c>
      <c r="G210" s="42">
        <f t="shared" si="76"/>
        <v>126.82499999999999</v>
      </c>
      <c r="H210" s="42">
        <f t="shared" si="77"/>
        <v>380.47499999999997</v>
      </c>
      <c r="I210" s="167"/>
      <c r="J210" s="168">
        <f t="shared" si="80"/>
        <v>1</v>
      </c>
      <c r="K210" s="169">
        <f t="shared" si="78"/>
        <v>126.82499999999999</v>
      </c>
      <c r="L210" s="170">
        <f>IFERROR(VLOOKUP(C210,元件库!$B:$O,10,FALSE),"1.00")</f>
        <v>1</v>
      </c>
      <c r="M210" s="171">
        <f>IFERROR(VLOOKUP(C210,元件库!$B:$O,11,FALSE),"")</f>
        <v>126.82499999999999</v>
      </c>
      <c r="N210" s="172" t="str">
        <f t="shared" ca="1" si="79"/>
        <v/>
      </c>
      <c r="O210" s="174" t="str">
        <f>O214</f>
        <v>GGD-1000*600*2000</v>
      </c>
    </row>
    <row r="211" spans="1:22" s="175" customFormat="1" ht="16.5" customHeight="1" x14ac:dyDescent="0.2">
      <c r="A211" s="38">
        <f>COUNTIF($J$1:J211,"!")</f>
        <v>13</v>
      </c>
      <c r="B211" s="163" t="s">
        <v>2725</v>
      </c>
      <c r="C211" s="164" t="s">
        <v>1889</v>
      </c>
      <c r="D211" s="165" t="str">
        <f>IFERROR(VLOOKUP(C211,元件库!$B:$O,2,FALSE),"")</f>
        <v>欣利铜材</v>
      </c>
      <c r="E211" s="166" t="str">
        <f t="shared" si="75"/>
        <v>米</v>
      </c>
      <c r="F211" s="166">
        <f>1*(MID(O211,FIND("-",O211)+1,FIND("*",O211)-FIND("-",O211)-1)/1000*IF(B211="水平排",3,1)+IF(AND(B211="零母排",VLOOKUP(A211,A$1:B208,2,FALSE)="低压进线柜"),1.5,0))</f>
        <v>1</v>
      </c>
      <c r="G211" s="42">
        <f t="shared" si="76"/>
        <v>182.62799999999999</v>
      </c>
      <c r="H211" s="42">
        <f t="shared" si="77"/>
        <v>182.62799999999999</v>
      </c>
      <c r="I211" s="167"/>
      <c r="J211" s="168">
        <f t="shared" si="80"/>
        <v>1</v>
      </c>
      <c r="K211" s="169">
        <f t="shared" si="78"/>
        <v>182.62799999999999</v>
      </c>
      <c r="L211" s="170">
        <f>IFERROR(VLOOKUP(C211,元件库!$B:$O,10,FALSE),"1.00")</f>
        <v>1</v>
      </c>
      <c r="M211" s="171">
        <f>IFERROR(VLOOKUP(C211,元件库!$B:$O,11,FALSE),"")</f>
        <v>182.62799999999999</v>
      </c>
      <c r="N211" s="172" t="str">
        <f t="shared" ca="1" si="79"/>
        <v/>
      </c>
      <c r="O211" s="176" t="str">
        <f>O214</f>
        <v>GGD-1000*600*2000</v>
      </c>
    </row>
    <row r="212" spans="1:22" s="175" customFormat="1" ht="16.5" customHeight="1" x14ac:dyDescent="0.2">
      <c r="A212" s="38">
        <f>COUNTIF($J$1:J212,"!")</f>
        <v>13</v>
      </c>
      <c r="B212" s="163" t="s">
        <v>2172</v>
      </c>
      <c r="C212" s="164" t="s">
        <v>1889</v>
      </c>
      <c r="D212" s="165" t="str">
        <f>IFERROR(VLOOKUP(C212,元件库!$B:$O,2,FALSE),"")</f>
        <v>欣利铜材</v>
      </c>
      <c r="E212" s="166" t="str">
        <f t="shared" si="75"/>
        <v>米</v>
      </c>
      <c r="F212" s="166">
        <f>1*(MID(O212,FIND("-",O212)+1,FIND("*",O212)-FIND("-",O212)-1)/1000*IF(B212="水平排",3,1))</f>
        <v>1</v>
      </c>
      <c r="G212" s="42">
        <f t="shared" si="76"/>
        <v>182.62799999999999</v>
      </c>
      <c r="H212" s="42">
        <f t="shared" si="77"/>
        <v>182.62799999999999</v>
      </c>
      <c r="I212" s="167"/>
      <c r="J212" s="168">
        <f t="shared" si="80"/>
        <v>1</v>
      </c>
      <c r="K212" s="169">
        <f t="shared" si="78"/>
        <v>182.62799999999999</v>
      </c>
      <c r="L212" s="170">
        <f>IFERROR(VLOOKUP(C212,元件库!$B:$O,10,FALSE),"1.00")</f>
        <v>1</v>
      </c>
      <c r="M212" s="171">
        <f>IFERROR(VLOOKUP(C212,元件库!$B:$O,11,FALSE),"")</f>
        <v>182.62799999999999</v>
      </c>
      <c r="N212" s="172" t="str">
        <f t="shared" ca="1" si="79"/>
        <v/>
      </c>
      <c r="O212" s="176" t="str">
        <f>O214</f>
        <v>GGD-1000*600*2000</v>
      </c>
    </row>
    <row r="213" spans="1:22" ht="16.5" customHeight="1" x14ac:dyDescent="0.2">
      <c r="A213" s="38">
        <f>COUNTIF($J$1:J213,"!")</f>
        <v>13</v>
      </c>
      <c r="B213" s="177" t="s">
        <v>107</v>
      </c>
      <c r="C213" s="164"/>
      <c r="D213" s="166"/>
      <c r="E213" s="166"/>
      <c r="F213" s="166"/>
      <c r="G213" s="42"/>
      <c r="H213" s="42"/>
      <c r="I213" s="178">
        <f>SUM(H200:H213)</f>
        <v>5378.6311999999998</v>
      </c>
      <c r="J213" s="168"/>
      <c r="K213" s="169"/>
      <c r="L213" s="170"/>
      <c r="M213" s="171"/>
      <c r="O213" s="174"/>
      <c r="P213" s="162"/>
    </row>
    <row r="214" spans="1:22" ht="16.5" customHeight="1" x14ac:dyDescent="0.2">
      <c r="A214" s="38">
        <f>COUNTIF($J$1:J214,"!")</f>
        <v>13</v>
      </c>
      <c r="B214" s="179" t="s">
        <v>47</v>
      </c>
      <c r="C214" s="164"/>
      <c r="D214" s="166"/>
      <c r="E214" s="166"/>
      <c r="F214" s="166"/>
      <c r="G214" s="42"/>
      <c r="H214" s="42">
        <f>IFERROR(J214*K214,"")</f>
        <v>800</v>
      </c>
      <c r="I214" s="167"/>
      <c r="J214" s="168">
        <f>P$1</f>
        <v>1</v>
      </c>
      <c r="K214" s="169">
        <f>L214*M214</f>
        <v>800</v>
      </c>
      <c r="L214" s="170">
        <f>F200</f>
        <v>1</v>
      </c>
      <c r="M214" s="171">
        <f>IF(B214="成套费",IF(ISNUMBER(FIND("GGD",O214)),800,IF(OR(ISNUMBER(FIND("GCS",O214)),ISNUMBER(FIND("GCK",O214)),ISNUMBER(FIND("MNS",O214))),1000,"")),IF(B214="辅件费",IF(VLOOKUP(A215,A$1:B214,2,FALSE)="低压电容柜",500,300),""))</f>
        <v>800</v>
      </c>
      <c r="O214" s="180" t="str">
        <f>C200</f>
        <v>GGD-1000*600*2000</v>
      </c>
    </row>
    <row r="215" spans="1:22" s="161" customFormat="1" ht="16.5" customHeight="1" x14ac:dyDescent="0.2">
      <c r="A215" s="38">
        <f>COUNTIF($J$1:J215,"!")</f>
        <v>13</v>
      </c>
      <c r="B215" s="179" t="s">
        <v>49</v>
      </c>
      <c r="C215" s="164"/>
      <c r="D215" s="166"/>
      <c r="E215" s="166"/>
      <c r="F215" s="166"/>
      <c r="G215" s="42"/>
      <c r="H215" s="42">
        <f>IFERROR(J215*K215,"")</f>
        <v>300</v>
      </c>
      <c r="I215" s="167"/>
      <c r="J215" s="168">
        <f>P$1</f>
        <v>1</v>
      </c>
      <c r="K215" s="169">
        <f>L215*M215</f>
        <v>300</v>
      </c>
      <c r="L215" s="170">
        <f>F200</f>
        <v>1</v>
      </c>
      <c r="M215" s="171">
        <f>IF(B215="成套费",IF(ISNUMBER(FIND("GGD",O215)),800,IF(OR(ISNUMBER(FIND("GCS",O215)),ISNUMBER(FIND("GCK",O215)),ISNUMBER(FIND("MNS",O215))),1000,"")),IF(B215="辅件费",IF(VLOOKUP(A215,A$1:B215,2,FALSE)="低压电容柜",500,300),""))</f>
        <v>300</v>
      </c>
      <c r="N215" s="181"/>
      <c r="O215" s="182" t="str">
        <f>O214</f>
        <v>GGD-1000*600*2000</v>
      </c>
      <c r="R215" s="162"/>
      <c r="S215" s="162"/>
    </row>
    <row r="216" spans="1:22" s="161" customFormat="1" ht="16.5" customHeight="1" x14ac:dyDescent="0.2">
      <c r="A216" s="38">
        <f>COUNTIF($J$1:J216,"!")</f>
        <v>13</v>
      </c>
      <c r="B216" s="179" t="s">
        <v>79</v>
      </c>
      <c r="C216" s="164"/>
      <c r="D216" s="166"/>
      <c r="E216" s="166"/>
      <c r="F216" s="166"/>
      <c r="G216" s="42"/>
      <c r="H216" s="42">
        <f>K216*L216</f>
        <v>777.435744</v>
      </c>
      <c r="I216" s="167"/>
      <c r="J216" s="168"/>
      <c r="K216" s="169">
        <f>SUM(H213:H215)+I213</f>
        <v>6478.6311999999998</v>
      </c>
      <c r="L216" s="279">
        <f>R$1</f>
        <v>0.12</v>
      </c>
      <c r="M216" s="171"/>
      <c r="N216" s="181"/>
      <c r="O216" s="162"/>
      <c r="R216" s="162"/>
      <c r="S216" s="162"/>
    </row>
    <row r="217" spans="1:22" ht="16.5" customHeight="1" x14ac:dyDescent="0.2">
      <c r="A217" s="38">
        <f>COUNTIF($J$1:J217,"!")</f>
        <v>13</v>
      </c>
      <c r="B217" s="179" t="s">
        <v>108</v>
      </c>
      <c r="C217" s="164"/>
      <c r="D217" s="166"/>
      <c r="E217" s="166"/>
      <c r="F217" s="166"/>
      <c r="G217" s="184"/>
      <c r="H217" s="42">
        <f>K217*L217</f>
        <v>217.68200831999999</v>
      </c>
      <c r="I217" s="167"/>
      <c r="J217" s="168"/>
      <c r="K217" s="169">
        <f>H216+K216</f>
        <v>7256.0669440000001</v>
      </c>
      <c r="L217" s="279">
        <f>T$1</f>
        <v>0.03</v>
      </c>
      <c r="M217" s="171"/>
      <c r="O217" s="162"/>
    </row>
    <row r="218" spans="1:22" ht="16.5" customHeight="1" x14ac:dyDescent="0.15">
      <c r="A218" s="32">
        <f>COUNTIF($J$1:J218,"!")</f>
        <v>14</v>
      </c>
      <c r="B218" s="33" t="s">
        <v>159</v>
      </c>
      <c r="C218" s="277" t="str">
        <f>LOOKUP(0,0/((RIGHT(B158:B218,3)="变压器")*(D158:D218=D218)),N158:N218)&amp;"10/0.4"</f>
        <v>400KVA 10/0.4</v>
      </c>
      <c r="D218" s="159" t="s">
        <v>2335</v>
      </c>
      <c r="E218" s="34" t="s">
        <v>23</v>
      </c>
      <c r="F218" s="159">
        <v>1</v>
      </c>
      <c r="G218" s="36">
        <f>ROUND(SUM(H219:H227),0)</f>
        <v>18930</v>
      </c>
      <c r="H218" s="160" t="str">
        <f>IF(ISNUMBER(FIND(" ",C219)),MID(C219,1,FIND(" ",C219)-1),IF(ISNUMBER(FIND("电容柜",B218)),"GGJ",MID(C219,1,FIND("-",C219)-1)))</f>
        <v>YBP</v>
      </c>
      <c r="I218" s="47" t="str">
        <f>MID(C219,IF(LEN(C219)-LEN(H218)&gt;3,LEN(H218)+2,1),30)</f>
        <v>3300*2200*2650</v>
      </c>
      <c r="J218" s="48" t="s">
        <v>24</v>
      </c>
      <c r="K218" s="49"/>
      <c r="L218" s="50"/>
      <c r="M218" s="51"/>
      <c r="O218" s="297"/>
      <c r="P218" s="161">
        <v>1650</v>
      </c>
      <c r="Q218" s="162">
        <v>2900</v>
      </c>
      <c r="R218" s="157">
        <v>1900</v>
      </c>
      <c r="S218" s="162">
        <v>1850</v>
      </c>
      <c r="T218" s="157">
        <v>3000</v>
      </c>
      <c r="U218" s="157">
        <v>2400</v>
      </c>
      <c r="V218" s="157">
        <v>3600</v>
      </c>
    </row>
    <row r="219" spans="1:22" ht="16.5" customHeight="1" x14ac:dyDescent="0.2">
      <c r="A219" s="38">
        <f>COUNTIF($J$1:J219,"!")</f>
        <v>14</v>
      </c>
      <c r="B219" s="163" t="s">
        <v>25</v>
      </c>
      <c r="C219" s="164" t="s">
        <v>3144</v>
      </c>
      <c r="D219" s="165" t="s">
        <v>3242</v>
      </c>
      <c r="E219" s="166" t="s">
        <v>29</v>
      </c>
      <c r="F219" s="166">
        <v>1</v>
      </c>
      <c r="G219" s="42">
        <f>IFERROR(J219*K219,"")</f>
        <v>11380.05</v>
      </c>
      <c r="H219" s="42">
        <f>IFERROR(G219*F219,"")</f>
        <v>11380.05</v>
      </c>
      <c r="I219" s="167"/>
      <c r="J219" s="168">
        <f>P$1</f>
        <v>1</v>
      </c>
      <c r="K219" s="169">
        <f>IFERROR(M219*L219,"")</f>
        <v>11380.05</v>
      </c>
      <c r="L219" s="170">
        <v>0.95</v>
      </c>
      <c r="M219" s="171">
        <f>IFERROR(Q219*R219,"")</f>
        <v>11979</v>
      </c>
      <c r="N219" s="172" t="str">
        <f ca="1">IF(AND(ISNUMBER(FIND("IF",_xlfn.FORMULATEXT(L219))),ISNUMBER(FIND("IF",_xlfn.FORMULATEXT(M219)))),"","值")</f>
        <v>值</v>
      </c>
      <c r="O219" s="174" t="str">
        <f>O223</f>
        <v>YBP-3300*2200*2650</v>
      </c>
      <c r="P219" s="157" t="s">
        <v>2209</v>
      </c>
      <c r="Q219" s="300">
        <f>IF(P219=304,V218,IF(P219=201,T218,IF(P219="彩钢板",P218,IF(P219="敷铝锌贴木条",Q218,IF(P219="金属雕花",U218,IF(P219="GRC",R218,IF(P219="水泥变",S218,)))))))</f>
        <v>1650</v>
      </c>
      <c r="R219" s="161">
        <f>(MID(C219,FIND("-",C219)+1,FIND("*",C219)-FIND("-",C219)-1)*MID(C219,FIND("*",C219)+1,FIND("*",MID(C219,FIND("*",C219)+1,30))-1))/1000000*IF(ROUND(RIGHT(C219,4),0)&gt;2650,1/2.65*2.95,1)</f>
        <v>7.26</v>
      </c>
    </row>
    <row r="220" spans="1:22" s="175" customFormat="1" ht="16.5" customHeight="1" x14ac:dyDescent="0.2">
      <c r="A220" s="38">
        <f>COUNTIF($J$1:J220,"!")</f>
        <v>14</v>
      </c>
      <c r="B220" s="163" t="str">
        <f>IFERROR(VLOOKUP(C220,元件库!$B:$O,3,FALSE),"")</f>
        <v>铜排</v>
      </c>
      <c r="C220" s="164" t="s">
        <v>1889</v>
      </c>
      <c r="D220" s="165" t="str">
        <f>IFERROR(VLOOKUP(C220,元件库!$B:$O,2,FALSE),"")</f>
        <v>欣利铜材</v>
      </c>
      <c r="E220" s="166" t="str">
        <f>IF(D220="欣利铜材","米",IF(B220="氧化锌避雷器","组","只"))</f>
        <v>米</v>
      </c>
      <c r="F220" s="166">
        <v>8</v>
      </c>
      <c r="G220" s="42">
        <f>IFERROR(J220*K220,"")</f>
        <v>182.62799999999999</v>
      </c>
      <c r="H220" s="42">
        <f>IFERROR(G220*F220,"")</f>
        <v>1461.0239999999999</v>
      </c>
      <c r="I220" s="167"/>
      <c r="J220" s="168">
        <f>P$1</f>
        <v>1</v>
      </c>
      <c r="K220" s="169">
        <f>IFERROR(M220*L220,"")</f>
        <v>182.62799999999999</v>
      </c>
      <c r="L220" s="170">
        <f>IFERROR(VLOOKUP(C220,元件库!$B:$O,10,FALSE),"1.00")</f>
        <v>1</v>
      </c>
      <c r="M220" s="171">
        <f>IFERROR(VLOOKUP(C220,元件库!$B:$O,11,FALSE),"")</f>
        <v>182.62799999999999</v>
      </c>
      <c r="N220" s="172" t="str">
        <f ca="1">IF(AND(ISNUMBER(FIND("IF",_xlfn.FORMULATEXT(L220))),ISNUMBER(FIND("IF",_xlfn.FORMULATEXT(M220)))),"","值")</f>
        <v/>
      </c>
      <c r="O220" s="174" t="str">
        <f>O223</f>
        <v>YBP-3300*2200*2650</v>
      </c>
    </row>
    <row r="221" spans="1:22" s="173" customFormat="1" ht="16.5" customHeight="1" x14ac:dyDescent="0.2">
      <c r="A221" s="38">
        <f>COUNTIF($J$1:J221,"!")</f>
        <v>14</v>
      </c>
      <c r="B221" s="163" t="str">
        <f>IFERROR(VLOOKUP(C221,元件库!$B:$O,3,FALSE),"")</f>
        <v>铜排</v>
      </c>
      <c r="C221" s="164" t="s">
        <v>2673</v>
      </c>
      <c r="D221" s="165" t="str">
        <f>IFERROR(VLOOKUP(C221,元件库!$B:$O,2,FALSE),"")</f>
        <v>欣利铜材</v>
      </c>
      <c r="E221" s="166" t="s">
        <v>39</v>
      </c>
      <c r="F221" s="166">
        <v>10</v>
      </c>
      <c r="G221" s="42">
        <f>IFERROR(J221*K221,"")</f>
        <v>126.82499999999999</v>
      </c>
      <c r="H221" s="42">
        <f>IFERROR(G221*F221,"")</f>
        <v>1268.25</v>
      </c>
      <c r="I221" s="167"/>
      <c r="J221" s="168">
        <f>P$1</f>
        <v>1</v>
      </c>
      <c r="K221" s="169">
        <f>IFERROR(M221*L221,"")</f>
        <v>126.82499999999999</v>
      </c>
      <c r="L221" s="170">
        <f>IFERROR(VLOOKUP(C221,元件库!$B:$O,10,FALSE),"1.00")</f>
        <v>1</v>
      </c>
      <c r="M221" s="171">
        <f>IFERROR(VLOOKUP(C221,元件库!$B:$O,11,FALSE),"")</f>
        <v>126.82499999999999</v>
      </c>
      <c r="N221" s="172" t="str">
        <f ca="1">IF(AND(ISNUMBER(FIND("IF",_xlfn.FORMULATEXT(L221))),ISNUMBER(FIND("IF",_xlfn.FORMULATEXT(M221)))),"","值")</f>
        <v/>
      </c>
      <c r="O221" s="174" t="str">
        <f>O223</f>
        <v>YBP-3300*2200*2650</v>
      </c>
      <c r="P221" s="161"/>
    </row>
    <row r="222" spans="1:22" ht="16.5" customHeight="1" x14ac:dyDescent="0.2">
      <c r="A222" s="38">
        <f>COUNTIF($J$1:J222,"!")</f>
        <v>14</v>
      </c>
      <c r="B222" s="177" t="s">
        <v>107</v>
      </c>
      <c r="C222" s="164"/>
      <c r="D222" s="166"/>
      <c r="E222" s="166"/>
      <c r="F222" s="166"/>
      <c r="G222" s="42"/>
      <c r="H222" s="42"/>
      <c r="I222" s="178">
        <f>SUM(H219:H222)</f>
        <v>14109.323999999999</v>
      </c>
      <c r="J222" s="168"/>
      <c r="K222" s="169"/>
      <c r="L222" s="170"/>
      <c r="M222" s="171"/>
      <c r="O222" s="174"/>
      <c r="P222" s="162"/>
      <c r="Q222" s="157"/>
    </row>
    <row r="223" spans="1:22" ht="16.5" customHeight="1" x14ac:dyDescent="0.2">
      <c r="A223" s="38">
        <f>COUNTIF($J$1:J223,"!")</f>
        <v>14</v>
      </c>
      <c r="B223" s="179" t="s">
        <v>47</v>
      </c>
      <c r="C223" s="164"/>
      <c r="D223" s="166"/>
      <c r="E223" s="166"/>
      <c r="F223" s="166"/>
      <c r="G223" s="42"/>
      <c r="H223" s="42">
        <f>IFERROR(J223*K223*L223,"")</f>
        <v>1500</v>
      </c>
      <c r="I223" s="167"/>
      <c r="J223" s="168">
        <f>P$1</f>
        <v>1</v>
      </c>
      <c r="K223" s="169">
        <f>IFERROR(M223*L223,"")</f>
        <v>1500</v>
      </c>
      <c r="L223" s="170" t="str">
        <f>IFERROR(VLOOKUP(C223,元件库!$B:$O,10,FALSE),"1.00")</f>
        <v>1.00</v>
      </c>
      <c r="M223" s="171">
        <v>1500</v>
      </c>
      <c r="O223" s="174" t="str">
        <f>LOOKUP(0,0/((A218:A222=A223)*(B218:B222="壳体W*D*H")),C218:C222)</f>
        <v>YBP-3300*2200*2650</v>
      </c>
    </row>
    <row r="224" spans="1:22" s="161" customFormat="1" ht="16.5" customHeight="1" x14ac:dyDescent="0.2">
      <c r="A224" s="38">
        <f>COUNTIF($J$1:J224,"!")</f>
        <v>14</v>
      </c>
      <c r="B224" s="179" t="s">
        <v>49</v>
      </c>
      <c r="C224" s="164"/>
      <c r="D224" s="166"/>
      <c r="E224" s="166"/>
      <c r="F224" s="166"/>
      <c r="G224" s="42"/>
      <c r="H224" s="42">
        <f>IFERROR(J224*K224*L224,"")</f>
        <v>500</v>
      </c>
      <c r="I224" s="167"/>
      <c r="J224" s="168">
        <f>P$1</f>
        <v>1</v>
      </c>
      <c r="K224" s="169">
        <f>IFERROR(M224*L224,"")</f>
        <v>500</v>
      </c>
      <c r="L224" s="170" t="str">
        <f>IFERROR(VLOOKUP(C224,元件库!$B:$O,10,FALSE),"1.00")</f>
        <v>1.00</v>
      </c>
      <c r="M224" s="171">
        <v>500</v>
      </c>
      <c r="N224" s="181"/>
      <c r="O224" s="174" t="str">
        <f>O223</f>
        <v>YBP-3300*2200*2650</v>
      </c>
      <c r="Q224" s="162"/>
      <c r="R224" s="162"/>
      <c r="S224" s="162"/>
    </row>
    <row r="225" spans="1:23" s="161" customFormat="1" ht="16.5" customHeight="1" x14ac:dyDescent="0.2">
      <c r="A225" s="38">
        <f>COUNTIF($J$1:J225,"!")</f>
        <v>14</v>
      </c>
      <c r="B225" s="179" t="s">
        <v>50</v>
      </c>
      <c r="C225" s="164"/>
      <c r="D225" s="166"/>
      <c r="E225" s="166"/>
      <c r="F225" s="166"/>
      <c r="G225" s="42"/>
      <c r="H225" s="42">
        <f>IFERROR(J225*K225*L225,"")</f>
        <v>300</v>
      </c>
      <c r="I225" s="167"/>
      <c r="J225" s="168">
        <f>P$1</f>
        <v>1</v>
      </c>
      <c r="K225" s="169">
        <f>IFERROR(M225*L225,"")</f>
        <v>300</v>
      </c>
      <c r="L225" s="170" t="str">
        <f>IFERROR(VLOOKUP(C225,元件库!$B:$O,10,FALSE),"1.00")</f>
        <v>1.00</v>
      </c>
      <c r="M225" s="171">
        <v>300</v>
      </c>
      <c r="N225" s="181"/>
      <c r="O225" s="174"/>
      <c r="Q225" s="162"/>
      <c r="R225" s="162"/>
      <c r="S225" s="162"/>
    </row>
    <row r="226" spans="1:23" s="161" customFormat="1" ht="16.5" customHeight="1" x14ac:dyDescent="0.2">
      <c r="A226" s="38">
        <f>COUNTIF($J$1:J226,"!")</f>
        <v>14</v>
      </c>
      <c r="B226" s="179" t="s">
        <v>79</v>
      </c>
      <c r="C226" s="164"/>
      <c r="D226" s="166"/>
      <c r="E226" s="166"/>
      <c r="F226" s="166"/>
      <c r="G226" s="42"/>
      <c r="H226" s="42">
        <f>K226*L226</f>
        <v>1969.11888</v>
      </c>
      <c r="I226" s="167"/>
      <c r="J226" s="168"/>
      <c r="K226" s="169">
        <f>SUM(H223:H225)+I222</f>
        <v>16409.324000000001</v>
      </c>
      <c r="L226" s="279">
        <f>R$1</f>
        <v>0.12</v>
      </c>
      <c r="M226" s="171"/>
      <c r="N226" s="181"/>
      <c r="O226" s="174"/>
      <c r="Q226" s="162"/>
      <c r="R226" s="162"/>
      <c r="S226" s="162"/>
    </row>
    <row r="227" spans="1:23" ht="16.5" customHeight="1" x14ac:dyDescent="0.2">
      <c r="A227" s="38">
        <f>COUNTIF($J$1:J227,"!")</f>
        <v>14</v>
      </c>
      <c r="B227" s="179" t="s">
        <v>108</v>
      </c>
      <c r="C227" s="164"/>
      <c r="D227" s="166"/>
      <c r="E227" s="166"/>
      <c r="F227" s="166"/>
      <c r="G227" s="184"/>
      <c r="H227" s="42">
        <f>K227*L227</f>
        <v>551.3532864</v>
      </c>
      <c r="I227" s="167"/>
      <c r="J227" s="168"/>
      <c r="K227" s="169">
        <f>H226+K226</f>
        <v>18378.442880000002</v>
      </c>
      <c r="L227" s="279">
        <f>T$1</f>
        <v>0.03</v>
      </c>
      <c r="M227" s="171"/>
    </row>
    <row r="228" spans="1:23" s="162" customFormat="1" ht="16.5" customHeight="1" x14ac:dyDescent="0.15">
      <c r="A228" s="32">
        <f>COUNTIF($J$1:J228,"!")</f>
        <v>15</v>
      </c>
      <c r="B228" s="33" t="s">
        <v>1895</v>
      </c>
      <c r="C228" s="296" t="s">
        <v>3145</v>
      </c>
      <c r="D228" s="159" t="s">
        <v>2336</v>
      </c>
      <c r="E228" s="34" t="s">
        <v>23</v>
      </c>
      <c r="F228" s="159">
        <v>1</v>
      </c>
      <c r="G228" s="36">
        <f>ROUND(SUM(H229:H250),0)</f>
        <v>7552</v>
      </c>
      <c r="H228" s="160" t="str">
        <f>IF(ISNUMBER(FIND(" ",C229)),MID(C229,1,FIND(" ",C229)-1),IF(ISNUMBER(FIND("电容柜",B228)),"GGJ",MID(C229,1,FIND("-",C229)-1)))</f>
        <v>HXGN</v>
      </c>
      <c r="I228" s="47" t="str">
        <f>MID(C229,IF(LEN(C229)-LEN(H228)&gt;3,LEN(H228)+2,1),30)</f>
        <v>500*900*2000</v>
      </c>
      <c r="J228" s="48" t="s">
        <v>24</v>
      </c>
      <c r="K228" s="49"/>
      <c r="L228" s="50"/>
      <c r="M228" s="51"/>
      <c r="N228" s="172"/>
      <c r="O228" s="161"/>
    </row>
    <row r="229" spans="1:23" s="162" customFormat="1" ht="16.5" customHeight="1" x14ac:dyDescent="0.2">
      <c r="A229" s="38">
        <f>COUNTIF($J$1:J229,"!")</f>
        <v>15</v>
      </c>
      <c r="B229" s="163" t="str">
        <f>IFERROR(VLOOKUP(C229,元件库!$B:$O,3,FALSE),"")</f>
        <v>壳体W*D*H</v>
      </c>
      <c r="C229" s="164" t="s">
        <v>3120</v>
      </c>
      <c r="D229" s="165" t="str">
        <f>IFERROR(VLOOKUP(C229,元件库!$B:$O,2,FALSE),"")</f>
        <v>精益联合集团</v>
      </c>
      <c r="E229" s="166" t="str">
        <f t="shared" ref="E229:E236" si="81">IF(D229="欣利铜材","米",IF(B229="氧化锌避雷器","组","只"))</f>
        <v>只</v>
      </c>
      <c r="F229" s="166">
        <v>1</v>
      </c>
      <c r="G229" s="42">
        <f t="shared" ref="G229:G236" si="82">IFERROR(J229*K229,"")</f>
        <v>1500</v>
      </c>
      <c r="H229" s="42">
        <f t="shared" ref="H229:H236" si="83">IFERROR(G229*F229,"")</f>
        <v>1500</v>
      </c>
      <c r="I229" s="167"/>
      <c r="J229" s="168">
        <f t="shared" ref="J229:J236" si="84">P$1</f>
        <v>1</v>
      </c>
      <c r="K229" s="169">
        <f t="shared" ref="K229:K236" si="85">IFERROR(M229*L229,"")</f>
        <v>1500</v>
      </c>
      <c r="L229" s="170">
        <f>IFERROR(VLOOKUP(C229,元件库!$B:$O,10,FALSE),"1.00")</f>
        <v>1</v>
      </c>
      <c r="M229" s="171">
        <f>IFERROR(VLOOKUP(C229,元件库!$B:$O,11,FALSE),"")</f>
        <v>1500</v>
      </c>
      <c r="N229" s="172" t="str">
        <f t="shared" ref="N229:N245" ca="1" si="86">IF(AND(ISNUMBER(FIND("IF",_xlfn.FORMULATEXT(L229))),ISNUMBER(FIND("IF",_xlfn.FORMULATEXT(M229)))),"","值")</f>
        <v/>
      </c>
      <c r="O229" s="157"/>
      <c r="P229" s="157"/>
    </row>
    <row r="230" spans="1:23" s="175" customFormat="1" ht="16.5" customHeight="1" x14ac:dyDescent="0.2">
      <c r="A230" s="38">
        <f>COUNTIF($J$1:J230,"!")</f>
        <v>15</v>
      </c>
      <c r="B230" s="163" t="str">
        <f>IFERROR(VLOOKUP(C230,元件库!$B:$O,3,FALSE),"")</f>
        <v>高压熔断器</v>
      </c>
      <c r="C230" s="164" t="s">
        <v>3041</v>
      </c>
      <c r="D230" s="165" t="str">
        <f>IFERROR(VLOOKUP(C230,元件库!$B:$O,2,FALSE),"")</f>
        <v>上海智广</v>
      </c>
      <c r="E230" s="166" t="str">
        <f t="shared" si="81"/>
        <v>只</v>
      </c>
      <c r="F230" s="166">
        <v>3</v>
      </c>
      <c r="G230" s="42">
        <f t="shared" si="82"/>
        <v>60</v>
      </c>
      <c r="H230" s="42">
        <f t="shared" si="83"/>
        <v>180</v>
      </c>
      <c r="I230" s="167"/>
      <c r="J230" s="168">
        <f t="shared" si="84"/>
        <v>1</v>
      </c>
      <c r="K230" s="169">
        <f t="shared" si="85"/>
        <v>60</v>
      </c>
      <c r="L230" s="170">
        <f>IFERROR(VLOOKUP(C230,元件库!$B:$O,10,FALSE),"1.00")</f>
        <v>1</v>
      </c>
      <c r="M230" s="171">
        <f>IFERROR(VLOOKUP(C230,元件库!$B:$O,11,FALSE),"")</f>
        <v>60</v>
      </c>
      <c r="N230" s="172" t="str">
        <f t="shared" ca="1" si="86"/>
        <v/>
      </c>
      <c r="O230" s="157"/>
      <c r="W230" s="162"/>
    </row>
    <row r="231" spans="1:23" s="175" customFormat="1" ht="16.5" customHeight="1" x14ac:dyDescent="0.2">
      <c r="A231" s="38">
        <f>COUNTIF($J$1:J231,"!")</f>
        <v>15</v>
      </c>
      <c r="B231" s="163" t="str">
        <f>IFERROR(VLOOKUP(C231,元件库!$B:$O,3,FALSE),"")</f>
        <v>电压互感器</v>
      </c>
      <c r="C231" s="164" t="s">
        <v>2135</v>
      </c>
      <c r="D231" s="165" t="str">
        <f>IFERROR(VLOOKUP(C231,元件库!$B:$O,2,FALSE),"")</f>
        <v>浙江泰成</v>
      </c>
      <c r="E231" s="166" t="str">
        <f t="shared" si="81"/>
        <v>只</v>
      </c>
      <c r="F231" s="166">
        <v>2</v>
      </c>
      <c r="G231" s="42">
        <f t="shared" si="82"/>
        <v>963</v>
      </c>
      <c r="H231" s="42">
        <f t="shared" si="83"/>
        <v>1926</v>
      </c>
      <c r="I231" s="167"/>
      <c r="J231" s="168">
        <f t="shared" si="84"/>
        <v>1</v>
      </c>
      <c r="K231" s="169">
        <f t="shared" si="85"/>
        <v>963</v>
      </c>
      <c r="L231" s="170">
        <f>IFERROR(VLOOKUP(C231,元件库!$B:$O,10,FALSE),"1.00")</f>
        <v>1</v>
      </c>
      <c r="M231" s="171">
        <f>IFERROR(VLOOKUP(C231,元件库!$B:$O,11,FALSE),"")</f>
        <v>963</v>
      </c>
      <c r="N231" s="172" t="str">
        <f t="shared" ca="1" si="86"/>
        <v/>
      </c>
      <c r="O231" s="157"/>
      <c r="W231" s="162"/>
    </row>
    <row r="232" spans="1:23" s="175" customFormat="1" ht="16.5" customHeight="1" x14ac:dyDescent="0.2">
      <c r="A232" s="38">
        <f>COUNTIF($J$1:J232,"!")</f>
        <v>15</v>
      </c>
      <c r="B232" s="163" t="str">
        <f>IFERROR(VLOOKUP(C232,元件库!$B:$O,3,FALSE),"")</f>
        <v>电流.电压表</v>
      </c>
      <c r="C232" s="164" t="s">
        <v>1899</v>
      </c>
      <c r="D232" s="165" t="str">
        <f>IFERROR(VLOOKUP(C232,元件库!$B:$O,2,FALSE),"")</f>
        <v>精益联合集团</v>
      </c>
      <c r="E232" s="166" t="str">
        <f t="shared" si="81"/>
        <v>只</v>
      </c>
      <c r="F232" s="166">
        <v>3</v>
      </c>
      <c r="G232" s="42">
        <f t="shared" si="82"/>
        <v>13.750000000000002</v>
      </c>
      <c r="H232" s="42">
        <f t="shared" si="83"/>
        <v>41.250000000000007</v>
      </c>
      <c r="I232" s="167"/>
      <c r="J232" s="168">
        <f t="shared" si="84"/>
        <v>1</v>
      </c>
      <c r="K232" s="169">
        <f t="shared" si="85"/>
        <v>13.750000000000002</v>
      </c>
      <c r="L232" s="170">
        <f>IFERROR(VLOOKUP(C232,元件库!$B:$O,10,FALSE),"1.00")</f>
        <v>0.55000000000000004</v>
      </c>
      <c r="M232" s="171">
        <f>IFERROR(VLOOKUP(C232,元件库!$B:$O,11,FALSE),"")</f>
        <v>25</v>
      </c>
      <c r="N232" s="172" t="str">
        <f t="shared" ca="1" si="86"/>
        <v/>
      </c>
      <c r="O232" s="157"/>
      <c r="W232" s="162"/>
    </row>
    <row r="233" spans="1:23" s="175" customFormat="1" ht="16.5" customHeight="1" x14ac:dyDescent="0.2">
      <c r="A233" s="38">
        <f>COUNTIF($J$1:J233,"!")</f>
        <v>15</v>
      </c>
      <c r="B233" s="163" t="str">
        <f>IFERROR(VLOOKUP(C233,元件库!$B:$O,3,FALSE),"")</f>
        <v>氧化锌避雷器</v>
      </c>
      <c r="C233" s="164" t="s">
        <v>1917</v>
      </c>
      <c r="D233" s="165" t="str">
        <f>IFERROR(VLOOKUP(C233,元件库!$B:$O,2,FALSE),"")</f>
        <v>雷恩电气</v>
      </c>
      <c r="E233" s="166" t="str">
        <f t="shared" si="81"/>
        <v>组</v>
      </c>
      <c r="F233" s="166">
        <v>1</v>
      </c>
      <c r="G233" s="42">
        <f t="shared" si="82"/>
        <v>200</v>
      </c>
      <c r="H233" s="42">
        <f t="shared" si="83"/>
        <v>200</v>
      </c>
      <c r="I233" s="167"/>
      <c r="J233" s="168">
        <f t="shared" si="84"/>
        <v>1</v>
      </c>
      <c r="K233" s="169">
        <f t="shared" si="85"/>
        <v>200</v>
      </c>
      <c r="L233" s="170">
        <f>IFERROR(VLOOKUP(C233,元件库!$B:$O,10,FALSE),"1.00")</f>
        <v>1</v>
      </c>
      <c r="M233" s="171">
        <f>IFERROR(VLOOKUP(C233,元件库!$B:$O,11,FALSE),"")</f>
        <v>200</v>
      </c>
      <c r="N233" s="172" t="str">
        <f t="shared" ca="1" si="86"/>
        <v/>
      </c>
      <c r="O233" s="157"/>
      <c r="W233" s="162"/>
    </row>
    <row r="234" spans="1:23" s="175" customFormat="1" ht="16.5" customHeight="1" x14ac:dyDescent="0.2">
      <c r="A234" s="38">
        <f>COUNTIF($J$1:J234,"!")</f>
        <v>15</v>
      </c>
      <c r="B234" s="163" t="str">
        <f>IFERROR(VLOOKUP(C234,元件库!$B:$O,3,FALSE),"")</f>
        <v>穿墙套管</v>
      </c>
      <c r="C234" s="164" t="s">
        <v>135</v>
      </c>
      <c r="D234" s="165" t="str">
        <f>IFERROR(VLOOKUP(C234,元件库!$B:$O,2,FALSE),"")</f>
        <v>福一开</v>
      </c>
      <c r="E234" s="166" t="str">
        <f t="shared" si="81"/>
        <v>只</v>
      </c>
      <c r="F234" s="166">
        <v>3</v>
      </c>
      <c r="G234" s="42">
        <f t="shared" si="82"/>
        <v>45</v>
      </c>
      <c r="H234" s="42">
        <f t="shared" si="83"/>
        <v>135</v>
      </c>
      <c r="I234" s="167"/>
      <c r="J234" s="168">
        <f t="shared" si="84"/>
        <v>1</v>
      </c>
      <c r="K234" s="169">
        <f t="shared" si="85"/>
        <v>45</v>
      </c>
      <c r="L234" s="170">
        <f>IFERROR(VLOOKUP(C234,元件库!$B:$O,10,FALSE),"1.00")</f>
        <v>1</v>
      </c>
      <c r="M234" s="171">
        <f>IFERROR(VLOOKUP(C234,元件库!$B:$O,11,FALSE),"")</f>
        <v>45</v>
      </c>
      <c r="N234" s="172" t="str">
        <f t="shared" ca="1" si="86"/>
        <v/>
      </c>
      <c r="O234" s="157"/>
      <c r="W234" s="162"/>
    </row>
    <row r="235" spans="1:23" s="175" customFormat="1" ht="16.5" customHeight="1" x14ac:dyDescent="0.2">
      <c r="A235" s="38">
        <f>COUNTIF($J$1:J235,"!")</f>
        <v>15</v>
      </c>
      <c r="B235" s="163" t="str">
        <f>IFERROR(VLOOKUP(C235,元件库!$B:$O,3,FALSE),"")</f>
        <v>支柱绝缘子</v>
      </c>
      <c r="C235" s="164" t="s">
        <v>136</v>
      </c>
      <c r="D235" s="165" t="str">
        <f>IFERROR(VLOOKUP(C235,元件库!$B:$O,2,FALSE),"")</f>
        <v>福一开</v>
      </c>
      <c r="E235" s="166" t="str">
        <f t="shared" si="81"/>
        <v>只</v>
      </c>
      <c r="F235" s="166">
        <v>3</v>
      </c>
      <c r="G235" s="42">
        <f t="shared" si="82"/>
        <v>22</v>
      </c>
      <c r="H235" s="42">
        <f t="shared" si="83"/>
        <v>66</v>
      </c>
      <c r="I235" s="167"/>
      <c r="J235" s="168">
        <f t="shared" si="84"/>
        <v>1</v>
      </c>
      <c r="K235" s="169">
        <f t="shared" si="85"/>
        <v>22</v>
      </c>
      <c r="L235" s="170">
        <f>IFERROR(VLOOKUP(C235,元件库!$B:$O,10,FALSE),"1.00")</f>
        <v>1</v>
      </c>
      <c r="M235" s="171">
        <f>IFERROR(VLOOKUP(C235,元件库!$B:$O,11,FALSE),"")</f>
        <v>22</v>
      </c>
      <c r="N235" s="172" t="str">
        <f t="shared" ca="1" si="86"/>
        <v/>
      </c>
      <c r="O235" s="157"/>
      <c r="W235" s="162"/>
    </row>
    <row r="236" spans="1:23" s="175" customFormat="1" ht="16.5" customHeight="1" x14ac:dyDescent="0.2">
      <c r="A236" s="38">
        <f>COUNTIF($J$1:J236,"!")</f>
        <v>15</v>
      </c>
      <c r="B236" s="163" t="str">
        <f>IFERROR(VLOOKUP(C236,元件库!$B:$O,3,FALSE),"")</f>
        <v>电压传感器</v>
      </c>
      <c r="C236" s="164" t="s">
        <v>137</v>
      </c>
      <c r="D236" s="165" t="str">
        <f>IFERROR(VLOOKUP(C236,元件库!$B:$O,2,FALSE),"")</f>
        <v>福一开</v>
      </c>
      <c r="E236" s="166" t="str">
        <f t="shared" si="81"/>
        <v>只</v>
      </c>
      <c r="F236" s="166">
        <v>1</v>
      </c>
      <c r="G236" s="42">
        <f t="shared" si="82"/>
        <v>93</v>
      </c>
      <c r="H236" s="42">
        <f t="shared" si="83"/>
        <v>93</v>
      </c>
      <c r="I236" s="167"/>
      <c r="J236" s="168">
        <f t="shared" si="84"/>
        <v>1</v>
      </c>
      <c r="K236" s="169">
        <f t="shared" si="85"/>
        <v>93</v>
      </c>
      <c r="L236" s="170">
        <f>IFERROR(VLOOKUP(C236,元件库!$B:$O,10,FALSE),"1.00")</f>
        <v>1</v>
      </c>
      <c r="M236" s="171">
        <f>IFERROR(VLOOKUP(C236,元件库!$B:$O,11,FALSE),"")</f>
        <v>93</v>
      </c>
      <c r="N236" s="172" t="str">
        <f t="shared" ca="1" si="86"/>
        <v/>
      </c>
      <c r="O236" s="157"/>
      <c r="W236" s="162"/>
    </row>
    <row r="237" spans="1:23" s="175" customFormat="1" ht="16.5" customHeight="1" x14ac:dyDescent="0.2">
      <c r="A237" s="38">
        <f>COUNTIF($J$1:J237,"!")</f>
        <v>15</v>
      </c>
      <c r="B237" s="163" t="str">
        <f>IFERROR(VLOOKUP(C237,元件库!$B:$O,3,FALSE),"")</f>
        <v>带电显示器</v>
      </c>
      <c r="C237" s="164" t="s">
        <v>1897</v>
      </c>
      <c r="D237" s="165" t="str">
        <f>IFERROR(VLOOKUP(C237,元件库!$B:$O,2,FALSE),"")</f>
        <v>江山鑫源</v>
      </c>
      <c r="E237" s="166" t="str">
        <f>IF(D237="欣利铜材","米",IF(B237="氧化锌避雷器","组","只"))</f>
        <v>只</v>
      </c>
      <c r="F237" s="166">
        <v>1</v>
      </c>
      <c r="G237" s="42">
        <f>IFERROR(J237*K237,"")</f>
        <v>33</v>
      </c>
      <c r="H237" s="42">
        <f>IFERROR(G237*F237,"")</f>
        <v>33</v>
      </c>
      <c r="I237" s="167"/>
      <c r="J237" s="168">
        <f>P$1</f>
        <v>1</v>
      </c>
      <c r="K237" s="169">
        <f>IFERROR(M237*L237,"")</f>
        <v>33</v>
      </c>
      <c r="L237" s="170">
        <f>IFERROR(VLOOKUP(C237,元件库!$B:$O,10,FALSE),"1.00")</f>
        <v>1</v>
      </c>
      <c r="M237" s="171">
        <f>IFERROR(VLOOKUP(C237,元件库!$B:$O,11,FALSE),"")</f>
        <v>33</v>
      </c>
      <c r="N237" s="172" t="str">
        <f t="shared" ca="1" si="86"/>
        <v/>
      </c>
      <c r="O237" s="157"/>
      <c r="W237" s="162"/>
    </row>
    <row r="238" spans="1:23" s="175" customFormat="1" ht="16.5" customHeight="1" x14ac:dyDescent="0.2">
      <c r="A238" s="38">
        <f>COUNTIF($J$1:J238,"!")</f>
        <v>15</v>
      </c>
      <c r="B238" s="163" t="str">
        <f>IFERROR(VLOOKUP(C238,元件库!$B:$O,3,FALSE),"")</f>
        <v>电磁锁</v>
      </c>
      <c r="C238" s="164" t="s">
        <v>98</v>
      </c>
      <c r="D238" s="165" t="str">
        <f>IFERROR(VLOOKUP(C238,元件库!$B:$O,2,FALSE),"")</f>
        <v>哈陆拉</v>
      </c>
      <c r="E238" s="166" t="str">
        <f>IF(D238="欣利铜材","米",IF(B238="氧化锌避雷器","组","只"))</f>
        <v>只</v>
      </c>
      <c r="F238" s="166">
        <v>1</v>
      </c>
      <c r="G238" s="42">
        <f>IFERROR(J238*K238,"")</f>
        <v>55</v>
      </c>
      <c r="H238" s="42">
        <f>IFERROR(G238*F238,"")</f>
        <v>55</v>
      </c>
      <c r="I238" s="167"/>
      <c r="J238" s="168">
        <f t="shared" ref="J238:J245" si="87">P$1</f>
        <v>1</v>
      </c>
      <c r="K238" s="169">
        <f>IFERROR(M238*L238,"")</f>
        <v>55</v>
      </c>
      <c r="L238" s="170">
        <f>IFERROR(VLOOKUP(C238,元件库!$B:$O,10,FALSE),"1.00")</f>
        <v>1</v>
      </c>
      <c r="M238" s="171">
        <f>IFERROR(VLOOKUP(C238,元件库!$B:$O,11,FALSE),"")</f>
        <v>55</v>
      </c>
      <c r="N238" s="172" t="str">
        <f t="shared" ca="1" si="86"/>
        <v/>
      </c>
      <c r="O238" s="157"/>
      <c r="W238" s="162"/>
    </row>
    <row r="239" spans="1:23" s="175" customFormat="1" ht="16.5" customHeight="1" x14ac:dyDescent="0.2">
      <c r="A239" s="38">
        <f>COUNTIF($J$1:J239,"!")</f>
        <v>15</v>
      </c>
      <c r="B239" s="163" t="str">
        <f>IFERROR(VLOOKUP(C239,元件库!$B:$O,3,FALSE),"")</f>
        <v>温湿度控制器</v>
      </c>
      <c r="C239" s="164" t="s">
        <v>153</v>
      </c>
      <c r="D239" s="165" t="str">
        <f>IFERROR(VLOOKUP(C239,元件库!$B:$O,2,FALSE),"")</f>
        <v>实德电气</v>
      </c>
      <c r="E239" s="166" t="str">
        <f t="shared" ref="E239:E245" si="88">IF(D239="欣利铜材","米",IF(B239="氧化锌避雷器","组","只"))</f>
        <v>只</v>
      </c>
      <c r="F239" s="166">
        <v>1</v>
      </c>
      <c r="G239" s="42">
        <f t="shared" ref="G239:G245" si="89">IFERROR(J239*K239,"")</f>
        <v>110</v>
      </c>
      <c r="H239" s="42">
        <f t="shared" ref="H239:H245" si="90">IFERROR(G239*F239,"")</f>
        <v>110</v>
      </c>
      <c r="I239" s="167"/>
      <c r="J239" s="168">
        <f t="shared" si="87"/>
        <v>1</v>
      </c>
      <c r="K239" s="169">
        <f t="shared" ref="K239:K245" si="91">IFERROR(M239*L239,"")</f>
        <v>110</v>
      </c>
      <c r="L239" s="170">
        <f>IFERROR(VLOOKUP(C239,元件库!$B:$O,10,FALSE),"1.00")</f>
        <v>1</v>
      </c>
      <c r="M239" s="171">
        <f>IFERROR(VLOOKUP(C239,元件库!$B:$O,11,FALSE),"")</f>
        <v>110</v>
      </c>
      <c r="N239" s="172" t="str">
        <f t="shared" ca="1" si="86"/>
        <v/>
      </c>
      <c r="O239" s="157"/>
    </row>
    <row r="240" spans="1:23" s="175" customFormat="1" ht="16.5" customHeight="1" x14ac:dyDescent="0.2">
      <c r="A240" s="38">
        <f>COUNTIF($J$1:J240,"!")</f>
        <v>15</v>
      </c>
      <c r="B240" s="163" t="str">
        <f>IFERROR(VLOOKUP(C240,元件库!$B:$O,3,FALSE),"")</f>
        <v>加热器</v>
      </c>
      <c r="C240" s="164" t="s">
        <v>101</v>
      </c>
      <c r="D240" s="165" t="str">
        <f>IFERROR(VLOOKUP(C240,元件库!$B:$O,2,FALSE),"")</f>
        <v>实德电气</v>
      </c>
      <c r="E240" s="166" t="str">
        <f t="shared" si="88"/>
        <v>只</v>
      </c>
      <c r="F240" s="166">
        <v>2</v>
      </c>
      <c r="G240" s="42">
        <f t="shared" si="89"/>
        <v>18</v>
      </c>
      <c r="H240" s="42">
        <f t="shared" si="90"/>
        <v>36</v>
      </c>
      <c r="I240" s="167"/>
      <c r="J240" s="168">
        <f t="shared" si="87"/>
        <v>1</v>
      </c>
      <c r="K240" s="169">
        <f t="shared" si="91"/>
        <v>18</v>
      </c>
      <c r="L240" s="170">
        <f>IFERROR(VLOOKUP(C240,元件库!$B:$O,10,FALSE),"1.00")</f>
        <v>1</v>
      </c>
      <c r="M240" s="171">
        <f>IFERROR(VLOOKUP(C240,元件库!$B:$O,11,FALSE),"")</f>
        <v>18</v>
      </c>
      <c r="N240" s="172" t="str">
        <f t="shared" ca="1" si="86"/>
        <v/>
      </c>
      <c r="O240" s="157"/>
    </row>
    <row r="241" spans="1:23" s="175" customFormat="1" ht="16.5" customHeight="1" x14ac:dyDescent="0.2">
      <c r="A241" s="38">
        <f>COUNTIF($J$1:J241,"!")</f>
        <v>15</v>
      </c>
      <c r="B241" s="163" t="str">
        <f>IFERROR(VLOOKUP(C241,元件库!$B:$O,3,FALSE),"")</f>
        <v>高压热缩管</v>
      </c>
      <c r="C241" s="185" t="str">
        <f>"10KV"&amp;MID(C244,4,10)</f>
        <v>10KV-60*6</v>
      </c>
      <c r="D241" s="165" t="str">
        <f>IFERROR(VLOOKUP(C241,元件库!$B:$O,2,FALSE),"")</f>
        <v>精益联合集团</v>
      </c>
      <c r="E241" s="166" t="str">
        <f t="shared" si="88"/>
        <v>只</v>
      </c>
      <c r="F241" s="166">
        <f>ROUND(SUM(F244:F245),0)</f>
        <v>2</v>
      </c>
      <c r="G241" s="42">
        <f t="shared" si="89"/>
        <v>12</v>
      </c>
      <c r="H241" s="42">
        <f t="shared" si="90"/>
        <v>24</v>
      </c>
      <c r="I241" s="167"/>
      <c r="J241" s="168">
        <f t="shared" si="87"/>
        <v>1</v>
      </c>
      <c r="K241" s="169">
        <f t="shared" si="91"/>
        <v>12</v>
      </c>
      <c r="L241" s="170">
        <f>IFERROR(VLOOKUP(C241,元件库!$B:$O,10,FALSE),"1.00")</f>
        <v>1</v>
      </c>
      <c r="M241" s="171">
        <f>IFERROR(VLOOKUP(C241,元件库!$B:$O,11,FALSE),"")</f>
        <v>12</v>
      </c>
      <c r="N241" s="172" t="str">
        <f t="shared" ca="1" si="86"/>
        <v/>
      </c>
      <c r="O241" s="157"/>
    </row>
    <row r="242" spans="1:23" s="175" customFormat="1" ht="16.5" customHeight="1" x14ac:dyDescent="0.2">
      <c r="A242" s="38">
        <f>COUNTIF($J$1:J242,"!")</f>
        <v>15</v>
      </c>
      <c r="B242" s="163" t="str">
        <f>IFERROR(VLOOKUP(C242,元件库!$B:$O,3,FALSE),"")</f>
        <v>铜排</v>
      </c>
      <c r="C242" s="185" t="s">
        <v>1889</v>
      </c>
      <c r="D242" s="165" t="str">
        <f>IFERROR(VLOOKUP(C242,元件库!$B:$O,2,FALSE),"")</f>
        <v>欣利铜材</v>
      </c>
      <c r="E242" s="166" t="str">
        <f t="shared" si="88"/>
        <v>米</v>
      </c>
      <c r="F242" s="166">
        <v>6</v>
      </c>
      <c r="G242" s="42">
        <f t="shared" si="89"/>
        <v>182.62799999999999</v>
      </c>
      <c r="H242" s="42">
        <f t="shared" si="90"/>
        <v>1095.768</v>
      </c>
      <c r="I242" s="167"/>
      <c r="J242" s="168">
        <f t="shared" si="87"/>
        <v>1</v>
      </c>
      <c r="K242" s="169">
        <f t="shared" si="91"/>
        <v>182.62799999999999</v>
      </c>
      <c r="L242" s="170">
        <f>IFERROR(VLOOKUP(C242,元件库!$B:$O,10,FALSE),"1.00")</f>
        <v>1</v>
      </c>
      <c r="M242" s="171">
        <f>IFERROR(VLOOKUP(C242,元件库!$B:$O,11,FALSE),"")</f>
        <v>182.62799999999999</v>
      </c>
      <c r="N242" s="172" t="str">
        <f t="shared" ca="1" si="86"/>
        <v/>
      </c>
      <c r="O242" s="174" t="str">
        <f>O245</f>
        <v>HXGN-500*900*2000</v>
      </c>
    </row>
    <row r="243" spans="1:23" s="175" customFormat="1" ht="16.5" customHeight="1" x14ac:dyDescent="0.2">
      <c r="A243" s="38">
        <f>COUNTIF($J$1:J243,"!")</f>
        <v>15</v>
      </c>
      <c r="B243" s="163" t="str">
        <f>IFERROR(VLOOKUP(C243,元件库!$B:$O,3,FALSE),"")</f>
        <v>铜排</v>
      </c>
      <c r="C243" s="185" t="s">
        <v>1910</v>
      </c>
      <c r="D243" s="165" t="str">
        <f>IFERROR(VLOOKUP(C243,元件库!$B:$O,2,FALSE),"")</f>
        <v>欣利铜材</v>
      </c>
      <c r="E243" s="166" t="str">
        <f t="shared" si="88"/>
        <v>米</v>
      </c>
      <c r="F243" s="166">
        <v>3</v>
      </c>
      <c r="G243" s="42">
        <f t="shared" si="89"/>
        <v>45.656999999999996</v>
      </c>
      <c r="H243" s="42">
        <f t="shared" si="90"/>
        <v>136.971</v>
      </c>
      <c r="I243" s="167"/>
      <c r="J243" s="168">
        <f t="shared" si="87"/>
        <v>1</v>
      </c>
      <c r="K243" s="169">
        <f t="shared" si="91"/>
        <v>45.656999999999996</v>
      </c>
      <c r="L243" s="170">
        <f>IFERROR(VLOOKUP(C243,元件库!$B:$O,10,FALSE),"1.00")</f>
        <v>1</v>
      </c>
      <c r="M243" s="171">
        <f>IFERROR(VLOOKUP(C243,元件库!$B:$O,11,FALSE),"")</f>
        <v>45.656999999999996</v>
      </c>
      <c r="N243" s="172" t="str">
        <f t="shared" ca="1" si="86"/>
        <v/>
      </c>
      <c r="O243" s="174">
        <f>O246</f>
        <v>0</v>
      </c>
    </row>
    <row r="244" spans="1:23" s="175" customFormat="1" ht="16.5" customHeight="1" x14ac:dyDescent="0.2">
      <c r="A244" s="38">
        <f>COUNTIF($J$1:J244,"!")</f>
        <v>15</v>
      </c>
      <c r="B244" s="163" t="s">
        <v>2171</v>
      </c>
      <c r="C244" s="185" t="s">
        <v>1889</v>
      </c>
      <c r="D244" s="165" t="str">
        <f>IFERROR(VLOOKUP(C244,元件库!$B:$O,2,FALSE),"")</f>
        <v>欣利铜材</v>
      </c>
      <c r="E244" s="166" t="str">
        <f t="shared" si="88"/>
        <v>米</v>
      </c>
      <c r="F244" s="166">
        <f>1*MID(O244,FIND("-",O244)+1,FIND("*",O244)-FIND("-",O244)-1)/1000*IF(B244="水平排",3,1)+IF(AND(B244="零母排",VLOOKUP(A244,A$1:B240,2,FALSE)="低压进线柜"),1.5,0)</f>
        <v>1.5</v>
      </c>
      <c r="G244" s="42">
        <f t="shared" si="89"/>
        <v>182.62799999999999</v>
      </c>
      <c r="H244" s="42">
        <f t="shared" si="90"/>
        <v>273.94200000000001</v>
      </c>
      <c r="I244" s="167"/>
      <c r="J244" s="168">
        <f t="shared" si="87"/>
        <v>1</v>
      </c>
      <c r="K244" s="169">
        <f t="shared" si="91"/>
        <v>182.62799999999999</v>
      </c>
      <c r="L244" s="170">
        <f>IFERROR(VLOOKUP(C244,元件库!$B:$O,10,FALSE),"1.00")</f>
        <v>1</v>
      </c>
      <c r="M244" s="171">
        <f>IFERROR(VLOOKUP(C244,元件库!$B:$O,11,FALSE),"")</f>
        <v>182.62799999999999</v>
      </c>
      <c r="N244" s="172" t="str">
        <f t="shared" ca="1" si="86"/>
        <v/>
      </c>
      <c r="O244" s="174" t="str">
        <f>O247</f>
        <v>HXGN-500*900*2000</v>
      </c>
    </row>
    <row r="245" spans="1:23" s="175" customFormat="1" ht="16.5" customHeight="1" x14ac:dyDescent="0.2">
      <c r="A245" s="38">
        <f>COUNTIF($J$1:J245,"!")</f>
        <v>15</v>
      </c>
      <c r="B245" s="163" t="s">
        <v>2172</v>
      </c>
      <c r="C245" s="185" t="s">
        <v>2326</v>
      </c>
      <c r="D245" s="165" t="str">
        <f>IFERROR(VLOOKUP(C245,元件库!$B:$O,2,FALSE),"")</f>
        <v>欣利铜材</v>
      </c>
      <c r="E245" s="166" t="str">
        <f t="shared" si="88"/>
        <v>米</v>
      </c>
      <c r="F245" s="166">
        <f>1*MID(O245,FIND("-",O245)+1,FIND("*",O245)-FIND("-",O245)-1)/1000*IF(B245="水平排",3,1)+IF(AND(B245="零母排",VLOOKUP(A245,A$1:B241,2,FALSE)="低压进线柜"),1.5,0)</f>
        <v>0.5</v>
      </c>
      <c r="G245" s="42">
        <f t="shared" si="89"/>
        <v>81.167999999999992</v>
      </c>
      <c r="H245" s="42">
        <f t="shared" si="90"/>
        <v>40.583999999999996</v>
      </c>
      <c r="I245" s="167"/>
      <c r="J245" s="168">
        <f t="shared" si="87"/>
        <v>1</v>
      </c>
      <c r="K245" s="169">
        <f t="shared" si="91"/>
        <v>81.167999999999992</v>
      </c>
      <c r="L245" s="170">
        <f>IFERROR(VLOOKUP(C245,元件库!$B:$O,10,FALSE),"1.00")</f>
        <v>1</v>
      </c>
      <c r="M245" s="171">
        <f>IFERROR(VLOOKUP(C245,元件库!$B:$O,11,FALSE),"")</f>
        <v>81.167999999999992</v>
      </c>
      <c r="N245" s="172" t="str">
        <f t="shared" ca="1" si="86"/>
        <v/>
      </c>
      <c r="O245" s="174" t="str">
        <f>O248</f>
        <v>HXGN-500*900*2000</v>
      </c>
    </row>
    <row r="246" spans="1:23" s="162" customFormat="1" ht="16.5" customHeight="1" x14ac:dyDescent="0.2">
      <c r="A246" s="38">
        <f>COUNTIF($J$1:J246,"!")</f>
        <v>15</v>
      </c>
      <c r="B246" s="177" t="s">
        <v>107</v>
      </c>
      <c r="C246" s="164"/>
      <c r="D246" s="166"/>
      <c r="E246" s="166"/>
      <c r="F246" s="166"/>
      <c r="G246" s="42"/>
      <c r="H246" s="42"/>
      <c r="I246" s="178">
        <f>SUM(H229:H246)</f>
        <v>5946.5149999999994</v>
      </c>
      <c r="J246" s="168"/>
      <c r="K246" s="169"/>
      <c r="L246" s="170"/>
      <c r="M246" s="171"/>
      <c r="O246" s="161"/>
      <c r="P246" s="157"/>
    </row>
    <row r="247" spans="1:23" ht="16.5" customHeight="1" x14ac:dyDescent="0.2">
      <c r="A247" s="38">
        <f>COUNTIF($J$1:J247,"!")</f>
        <v>15</v>
      </c>
      <c r="B247" s="179" t="s">
        <v>47</v>
      </c>
      <c r="C247" s="164"/>
      <c r="D247" s="166"/>
      <c r="E247" s="166"/>
      <c r="F247" s="166"/>
      <c r="G247" s="42"/>
      <c r="H247" s="42">
        <f>IFERROR(J247*M247*L247,"")</f>
        <v>400</v>
      </c>
      <c r="I247" s="167"/>
      <c r="J247" s="168">
        <f>P$1</f>
        <v>1</v>
      </c>
      <c r="K247" s="169">
        <f t="shared" ref="K247:K248" si="92">IFERROR(M247*L247,"")</f>
        <v>400</v>
      </c>
      <c r="L247" s="170" t="str">
        <f>IFERROR(VLOOKUP(C247,元件库!$B:$O,10,FALSE),"1.00")</f>
        <v>1.00</v>
      </c>
      <c r="M247" s="171">
        <v>400</v>
      </c>
      <c r="O247" s="180" t="str">
        <f>C229</f>
        <v>HXGN-500*900*2000</v>
      </c>
      <c r="P247" s="162"/>
      <c r="R247" s="157"/>
      <c r="S247" s="157"/>
    </row>
    <row r="248" spans="1:23" s="161" customFormat="1" ht="16.5" customHeight="1" x14ac:dyDescent="0.2">
      <c r="A248" s="38">
        <f>COUNTIF($J$1:J248,"!")</f>
        <v>15</v>
      </c>
      <c r="B248" s="179" t="s">
        <v>49</v>
      </c>
      <c r="C248" s="164"/>
      <c r="D248" s="166"/>
      <c r="E248" s="166"/>
      <c r="F248" s="166"/>
      <c r="G248" s="42"/>
      <c r="H248" s="42">
        <f>IFERROR(J248*M248*L248,"")</f>
        <v>200</v>
      </c>
      <c r="I248" s="167"/>
      <c r="J248" s="168">
        <f>P$1</f>
        <v>1</v>
      </c>
      <c r="K248" s="169">
        <f t="shared" si="92"/>
        <v>200</v>
      </c>
      <c r="L248" s="170" t="str">
        <f>IFERROR(VLOOKUP(C248,元件库!$B:$O,10,FALSE),"1.00")</f>
        <v>1.00</v>
      </c>
      <c r="M248" s="171">
        <v>200</v>
      </c>
      <c r="O248" s="174" t="str">
        <f>O247</f>
        <v>HXGN-500*900*2000</v>
      </c>
      <c r="P248" s="162"/>
      <c r="Q248" s="162"/>
    </row>
    <row r="249" spans="1:23" s="161" customFormat="1" ht="16.5" customHeight="1" x14ac:dyDescent="0.2">
      <c r="A249" s="38">
        <f>COUNTIF($J$1:J249,"!")</f>
        <v>15</v>
      </c>
      <c r="B249" s="179" t="s">
        <v>79</v>
      </c>
      <c r="C249" s="164"/>
      <c r="D249" s="166"/>
      <c r="E249" s="166"/>
      <c r="F249" s="166"/>
      <c r="G249" s="42"/>
      <c r="H249" s="42">
        <f>K249*L249</f>
        <v>785.58179999999993</v>
      </c>
      <c r="I249" s="167"/>
      <c r="J249" s="168"/>
      <c r="K249" s="169">
        <f>SUM(H247:H248)+I246</f>
        <v>6546.5149999999994</v>
      </c>
      <c r="L249" s="279">
        <f>R$1</f>
        <v>0.12</v>
      </c>
      <c r="M249" s="171"/>
      <c r="O249" s="181"/>
      <c r="P249" s="162"/>
      <c r="Q249" s="162"/>
    </row>
    <row r="250" spans="1:23" ht="16.5" customHeight="1" x14ac:dyDescent="0.2">
      <c r="A250" s="38">
        <f>COUNTIF($J$1:J250,"!")</f>
        <v>15</v>
      </c>
      <c r="B250" s="179" t="s">
        <v>108</v>
      </c>
      <c r="C250" s="164"/>
      <c r="D250" s="166"/>
      <c r="E250" s="166"/>
      <c r="F250" s="166"/>
      <c r="G250" s="184"/>
      <c r="H250" s="42">
        <f>K250*L250</f>
        <v>219.96290399999998</v>
      </c>
      <c r="I250" s="167"/>
      <c r="J250" s="168"/>
      <c r="K250" s="169">
        <f>H249+K249</f>
        <v>7332.0967999999993</v>
      </c>
      <c r="L250" s="279">
        <f>T$1</f>
        <v>0.03</v>
      </c>
      <c r="M250" s="171"/>
      <c r="O250" s="161"/>
      <c r="P250" s="162"/>
      <c r="R250" s="157"/>
      <c r="S250" s="157"/>
    </row>
    <row r="251" spans="1:23" s="162" customFormat="1" ht="16.5" customHeight="1" x14ac:dyDescent="0.15">
      <c r="A251" s="32">
        <f>COUNTIF($J$1:J251,"!")</f>
        <v>16</v>
      </c>
      <c r="B251" s="33" t="s">
        <v>1886</v>
      </c>
      <c r="C251" s="296" t="s">
        <v>3146</v>
      </c>
      <c r="D251" s="159" t="s">
        <v>2336</v>
      </c>
      <c r="E251" s="34" t="s">
        <v>23</v>
      </c>
      <c r="F251" s="159">
        <v>1</v>
      </c>
      <c r="G251" s="36">
        <f>ROUND(SUM(H252:H270),0)</f>
        <v>6671</v>
      </c>
      <c r="H251" s="160" t="str">
        <f>IF(ISNUMBER(FIND(" ",C252)),MID(C252,1,FIND(" ",C252)-1),IF(ISNUMBER(FIND("电容柜",B251)),"GGJ",MID(C252,1,FIND("-",C252)-1)))</f>
        <v>HXGN</v>
      </c>
      <c r="I251" s="47" t="str">
        <f>MID(C252,IF(LEN(C252)-LEN(H251)&gt;3,LEN(H251)+2,1),30)</f>
        <v>800*900*2000</v>
      </c>
      <c r="J251" s="48" t="s">
        <v>24</v>
      </c>
      <c r="K251" s="49"/>
      <c r="L251" s="50"/>
      <c r="M251" s="51"/>
      <c r="N251" s="172"/>
      <c r="O251" s="161"/>
    </row>
    <row r="252" spans="1:23" s="162" customFormat="1" ht="16.5" customHeight="1" x14ac:dyDescent="0.2">
      <c r="A252" s="38">
        <f>COUNTIF($J$1:J252,"!")</f>
        <v>16</v>
      </c>
      <c r="B252" s="163" t="str">
        <f>IFERROR(VLOOKUP(C252,元件库!$B:$O,3,FALSE),"")</f>
        <v>壳体W*D*H</v>
      </c>
      <c r="C252" s="164" t="s">
        <v>3122</v>
      </c>
      <c r="D252" s="165" t="str">
        <f>IFERROR(VLOOKUP(C252,元件库!$B:$O,2,FALSE),"")</f>
        <v>精益联合集团</v>
      </c>
      <c r="E252" s="166" t="str">
        <f t="shared" ref="E252:E257" si="93">IF(D252="欣利铜材","米",IF(B252="氧化锌避雷器","组","只"))</f>
        <v>只</v>
      </c>
      <c r="F252" s="166">
        <v>1</v>
      </c>
      <c r="G252" s="42">
        <f t="shared" ref="G252:G257" si="94">IFERROR(J252*K252,"")</f>
        <v>1800</v>
      </c>
      <c r="H252" s="42">
        <f t="shared" ref="H252:H257" si="95">IFERROR(G252*F252,"")</f>
        <v>1800</v>
      </c>
      <c r="I252" s="167"/>
      <c r="J252" s="168">
        <f t="shared" ref="J252:J257" si="96">P$1</f>
        <v>1</v>
      </c>
      <c r="K252" s="169">
        <f t="shared" ref="K252:K257" si="97">IFERROR(M252*L252,"")</f>
        <v>1800</v>
      </c>
      <c r="L252" s="170">
        <f>IFERROR(VLOOKUP(C252,元件库!$B:$O,10,FALSE),"1.00")</f>
        <v>1</v>
      </c>
      <c r="M252" s="171">
        <f>IFERROR(VLOOKUP(C252,元件库!$B:$O,11,FALSE),"")</f>
        <v>1800</v>
      </c>
      <c r="N252" s="172" t="str">
        <f t="shared" ref="N252:N265" ca="1" si="98">IF(AND(ISNUMBER(FIND("IF",_xlfn.FORMULATEXT(L252))),ISNUMBER(FIND("IF",_xlfn.FORMULATEXT(M252)))),"","值")</f>
        <v/>
      </c>
      <c r="O252" s="157"/>
      <c r="P252" s="157"/>
    </row>
    <row r="253" spans="1:23" s="175" customFormat="1" ht="16.5" customHeight="1" x14ac:dyDescent="0.2">
      <c r="A253" s="38">
        <f>COUNTIF($J$1:J253,"!")</f>
        <v>16</v>
      </c>
      <c r="B253" s="163" t="str">
        <f>IFERROR(VLOOKUP(C253,元件库!$B:$O,3,FALSE),"")</f>
        <v/>
      </c>
      <c r="C253" s="164" t="s">
        <v>861</v>
      </c>
      <c r="D253" s="165" t="str">
        <f>IFERROR(VLOOKUP(C253,元件库!$B:$O,2,FALSE),"")</f>
        <v/>
      </c>
      <c r="E253" s="166" t="str">
        <f t="shared" si="93"/>
        <v>只</v>
      </c>
      <c r="F253" s="166">
        <v>1</v>
      </c>
      <c r="G253" s="42" t="str">
        <f t="shared" si="94"/>
        <v/>
      </c>
      <c r="H253" s="42" t="str">
        <f t="shared" si="95"/>
        <v/>
      </c>
      <c r="I253" s="167"/>
      <c r="J253" s="168">
        <f t="shared" si="96"/>
        <v>1</v>
      </c>
      <c r="K253" s="169" t="str">
        <f t="shared" si="97"/>
        <v/>
      </c>
      <c r="L253" s="170" t="str">
        <f>IFERROR(VLOOKUP(C253,元件库!$B:$O,10,FALSE),"1.00")</f>
        <v>1.00</v>
      </c>
      <c r="M253" s="171" t="str">
        <f>IFERROR(VLOOKUP(C253,元件库!$B:$O,11,FALSE),"")</f>
        <v/>
      </c>
      <c r="N253" s="172" t="str">
        <f t="shared" ca="1" si="98"/>
        <v/>
      </c>
      <c r="O253" s="157"/>
      <c r="W253" s="162"/>
    </row>
    <row r="254" spans="1:23" s="175" customFormat="1" ht="16.5" customHeight="1" x14ac:dyDescent="0.2">
      <c r="A254" s="38">
        <f>COUNTIF($J$1:J254,"!")</f>
        <v>16</v>
      </c>
      <c r="B254" s="163" t="str">
        <f>IFERROR(VLOOKUP(C254,元件库!$B:$O,3,FALSE),"")</f>
        <v>高压熔断器</v>
      </c>
      <c r="C254" s="164" t="s">
        <v>3123</v>
      </c>
      <c r="D254" s="165" t="str">
        <f>IFERROR(VLOOKUP(C254,元件库!$B:$O,2,FALSE),"")</f>
        <v>上海智广</v>
      </c>
      <c r="E254" s="166" t="str">
        <f t="shared" si="93"/>
        <v>只</v>
      </c>
      <c r="F254" s="166">
        <v>3</v>
      </c>
      <c r="G254" s="42">
        <f t="shared" si="94"/>
        <v>140</v>
      </c>
      <c r="H254" s="42">
        <f t="shared" si="95"/>
        <v>420</v>
      </c>
      <c r="I254" s="167"/>
      <c r="J254" s="168">
        <f t="shared" si="96"/>
        <v>1</v>
      </c>
      <c r="K254" s="169">
        <f t="shared" si="97"/>
        <v>140</v>
      </c>
      <c r="L254" s="170">
        <f>IFERROR(VLOOKUP(C254,元件库!$B:$O,10,FALSE),"1.00")</f>
        <v>1</v>
      </c>
      <c r="M254" s="171">
        <f>IFERROR(VLOOKUP(C254,元件库!$B:$O,11,FALSE),"")</f>
        <v>140</v>
      </c>
      <c r="N254" s="172" t="str">
        <f t="shared" ca="1" si="98"/>
        <v/>
      </c>
      <c r="O254" s="157"/>
      <c r="W254" s="162"/>
    </row>
    <row r="255" spans="1:23" s="175" customFormat="1" ht="16.5" customHeight="1" x14ac:dyDescent="0.2">
      <c r="A255" s="38">
        <f>COUNTIF($J$1:J255,"!")</f>
        <v>16</v>
      </c>
      <c r="B255" s="163" t="str">
        <f>IFERROR(VLOOKUP(C255,元件库!$B:$O,3,FALSE),"")</f>
        <v>穿墙套管</v>
      </c>
      <c r="C255" s="164" t="s">
        <v>135</v>
      </c>
      <c r="D255" s="165" t="str">
        <f>IFERROR(VLOOKUP(C255,元件库!$B:$O,2,FALSE),"")</f>
        <v>福一开</v>
      </c>
      <c r="E255" s="166" t="str">
        <f t="shared" si="93"/>
        <v>只</v>
      </c>
      <c r="F255" s="166">
        <v>3</v>
      </c>
      <c r="G255" s="42">
        <f t="shared" si="94"/>
        <v>45</v>
      </c>
      <c r="H255" s="42">
        <f t="shared" si="95"/>
        <v>135</v>
      </c>
      <c r="I255" s="167"/>
      <c r="J255" s="168">
        <f t="shared" si="96"/>
        <v>1</v>
      </c>
      <c r="K255" s="169">
        <f t="shared" si="97"/>
        <v>45</v>
      </c>
      <c r="L255" s="170">
        <f>IFERROR(VLOOKUP(C255,元件库!$B:$O,10,FALSE),"1.00")</f>
        <v>1</v>
      </c>
      <c r="M255" s="171">
        <f>IFERROR(VLOOKUP(C255,元件库!$B:$O,11,FALSE),"")</f>
        <v>45</v>
      </c>
      <c r="N255" s="172" t="str">
        <f t="shared" ca="1" si="98"/>
        <v/>
      </c>
      <c r="O255" s="157"/>
      <c r="W255" s="162"/>
    </row>
    <row r="256" spans="1:23" s="175" customFormat="1" ht="16.5" customHeight="1" x14ac:dyDescent="0.2">
      <c r="A256" s="38">
        <f>COUNTIF($J$1:J256,"!")</f>
        <v>16</v>
      </c>
      <c r="B256" s="163" t="str">
        <f>IFERROR(VLOOKUP(C256,元件库!$B:$O,3,FALSE),"")</f>
        <v>支柱绝缘子</v>
      </c>
      <c r="C256" s="164" t="s">
        <v>136</v>
      </c>
      <c r="D256" s="165" t="str">
        <f>IFERROR(VLOOKUP(C256,元件库!$B:$O,2,FALSE),"")</f>
        <v>福一开</v>
      </c>
      <c r="E256" s="166" t="str">
        <f t="shared" si="93"/>
        <v>只</v>
      </c>
      <c r="F256" s="166">
        <v>3</v>
      </c>
      <c r="G256" s="42">
        <f t="shared" si="94"/>
        <v>22</v>
      </c>
      <c r="H256" s="42">
        <f t="shared" si="95"/>
        <v>66</v>
      </c>
      <c r="I256" s="167"/>
      <c r="J256" s="168">
        <f t="shared" si="96"/>
        <v>1</v>
      </c>
      <c r="K256" s="169">
        <f t="shared" si="97"/>
        <v>22</v>
      </c>
      <c r="L256" s="170">
        <f>IFERROR(VLOOKUP(C256,元件库!$B:$O,10,FALSE),"1.00")</f>
        <v>1</v>
      </c>
      <c r="M256" s="171">
        <f>IFERROR(VLOOKUP(C256,元件库!$B:$O,11,FALSE),"")</f>
        <v>22</v>
      </c>
      <c r="N256" s="172" t="str">
        <f t="shared" ca="1" si="98"/>
        <v/>
      </c>
      <c r="O256" s="157"/>
      <c r="W256" s="162"/>
    </row>
    <row r="257" spans="1:23" s="175" customFormat="1" ht="16.5" customHeight="1" x14ac:dyDescent="0.2">
      <c r="A257" s="38">
        <f>COUNTIF($J$1:J257,"!")</f>
        <v>16</v>
      </c>
      <c r="B257" s="163" t="str">
        <f>IFERROR(VLOOKUP(C257,元件库!$B:$O,3,FALSE),"")</f>
        <v>电压传感器</v>
      </c>
      <c r="C257" s="164" t="s">
        <v>137</v>
      </c>
      <c r="D257" s="165" t="str">
        <f>IFERROR(VLOOKUP(C257,元件库!$B:$O,2,FALSE),"")</f>
        <v>福一开</v>
      </c>
      <c r="E257" s="166" t="str">
        <f t="shared" si="93"/>
        <v>只</v>
      </c>
      <c r="F257" s="166">
        <v>1</v>
      </c>
      <c r="G257" s="42">
        <f t="shared" si="94"/>
        <v>93</v>
      </c>
      <c r="H257" s="42">
        <f t="shared" si="95"/>
        <v>93</v>
      </c>
      <c r="I257" s="167"/>
      <c r="J257" s="168">
        <f t="shared" si="96"/>
        <v>1</v>
      </c>
      <c r="K257" s="169">
        <f t="shared" si="97"/>
        <v>93</v>
      </c>
      <c r="L257" s="170">
        <f>IFERROR(VLOOKUP(C257,元件库!$B:$O,10,FALSE),"1.00")</f>
        <v>1</v>
      </c>
      <c r="M257" s="171">
        <f>IFERROR(VLOOKUP(C257,元件库!$B:$O,11,FALSE),"")</f>
        <v>93</v>
      </c>
      <c r="N257" s="172" t="str">
        <f t="shared" ca="1" si="98"/>
        <v/>
      </c>
      <c r="O257" s="157"/>
      <c r="W257" s="162"/>
    </row>
    <row r="258" spans="1:23" s="175" customFormat="1" ht="16.5" customHeight="1" x14ac:dyDescent="0.2">
      <c r="A258" s="38">
        <f>COUNTIF($J$1:J258,"!")</f>
        <v>16</v>
      </c>
      <c r="B258" s="163" t="str">
        <f>IFERROR(VLOOKUP(C258,元件库!$B:$O,3,FALSE),"")</f>
        <v>带电显示器</v>
      </c>
      <c r="C258" s="164" t="s">
        <v>1897</v>
      </c>
      <c r="D258" s="165" t="str">
        <f>IFERROR(VLOOKUP(C258,元件库!$B:$O,2,FALSE),"")</f>
        <v>江山鑫源</v>
      </c>
      <c r="E258" s="166" t="str">
        <f>IF(D258="欣利铜材","米",IF(B258="氧化锌避雷器","组","只"))</f>
        <v>只</v>
      </c>
      <c r="F258" s="166">
        <v>1</v>
      </c>
      <c r="G258" s="42">
        <f>IFERROR(J258*K258,"")</f>
        <v>33</v>
      </c>
      <c r="H258" s="42">
        <f>IFERROR(G258*F258,"")</f>
        <v>33</v>
      </c>
      <c r="I258" s="167"/>
      <c r="J258" s="168">
        <f>P$1</f>
        <v>1</v>
      </c>
      <c r="K258" s="169">
        <f>IFERROR(M258*L258,"")</f>
        <v>33</v>
      </c>
      <c r="L258" s="170">
        <f>IFERROR(VLOOKUP(C258,元件库!$B:$O,10,FALSE),"1.00")</f>
        <v>1</v>
      </c>
      <c r="M258" s="171">
        <f>IFERROR(VLOOKUP(C258,元件库!$B:$O,11,FALSE),"")</f>
        <v>33</v>
      </c>
      <c r="N258" s="172" t="str">
        <f t="shared" ca="1" si="98"/>
        <v/>
      </c>
      <c r="O258" s="157"/>
      <c r="W258" s="162"/>
    </row>
    <row r="259" spans="1:23" s="175" customFormat="1" ht="16.5" customHeight="1" x14ac:dyDescent="0.2">
      <c r="A259" s="38">
        <f>COUNTIF($J$1:J259,"!")</f>
        <v>16</v>
      </c>
      <c r="B259" s="163" t="str">
        <f>IFERROR(VLOOKUP(C259,元件库!$B:$O,3,FALSE),"")</f>
        <v>电磁锁</v>
      </c>
      <c r="C259" s="164" t="s">
        <v>98</v>
      </c>
      <c r="D259" s="165" t="str">
        <f>IFERROR(VLOOKUP(C259,元件库!$B:$O,2,FALSE),"")</f>
        <v>哈陆拉</v>
      </c>
      <c r="E259" s="166" t="str">
        <f>IF(D259="欣利铜材","米",IF(B259="氧化锌避雷器","组","只"))</f>
        <v>只</v>
      </c>
      <c r="F259" s="166">
        <v>1</v>
      </c>
      <c r="G259" s="42">
        <f>IFERROR(J259*K259,"")</f>
        <v>55</v>
      </c>
      <c r="H259" s="42">
        <f>IFERROR(G259*F259,"")</f>
        <v>55</v>
      </c>
      <c r="I259" s="167"/>
      <c r="J259" s="168">
        <f t="shared" ref="J259:J265" si="99">P$1</f>
        <v>1</v>
      </c>
      <c r="K259" s="169">
        <f>IFERROR(M259*L259,"")</f>
        <v>55</v>
      </c>
      <c r="L259" s="170">
        <f>IFERROR(VLOOKUP(C259,元件库!$B:$O,10,FALSE),"1.00")</f>
        <v>1</v>
      </c>
      <c r="M259" s="171">
        <f>IFERROR(VLOOKUP(C259,元件库!$B:$O,11,FALSE),"")</f>
        <v>55</v>
      </c>
      <c r="N259" s="172" t="str">
        <f t="shared" ca="1" si="98"/>
        <v/>
      </c>
      <c r="O259" s="157"/>
      <c r="W259" s="162"/>
    </row>
    <row r="260" spans="1:23" s="175" customFormat="1" ht="16.5" customHeight="1" x14ac:dyDescent="0.2">
      <c r="A260" s="38">
        <f>COUNTIF($J$1:J260,"!")</f>
        <v>16</v>
      </c>
      <c r="B260" s="163" t="str">
        <f>IFERROR(VLOOKUP(C260,元件库!$B:$O,3,FALSE),"")</f>
        <v>温湿度控制器</v>
      </c>
      <c r="C260" s="164" t="s">
        <v>153</v>
      </c>
      <c r="D260" s="165" t="str">
        <f>IFERROR(VLOOKUP(C260,元件库!$B:$O,2,FALSE),"")</f>
        <v>实德电气</v>
      </c>
      <c r="E260" s="166" t="str">
        <f t="shared" ref="E260:E265" si="100">IF(D260="欣利铜材","米",IF(B260="氧化锌避雷器","组","只"))</f>
        <v>只</v>
      </c>
      <c r="F260" s="166">
        <v>1</v>
      </c>
      <c r="G260" s="42">
        <f t="shared" ref="G260:G265" si="101">IFERROR(J260*K260,"")</f>
        <v>110</v>
      </c>
      <c r="H260" s="42">
        <f t="shared" ref="H260:H265" si="102">IFERROR(G260*F260,"")</f>
        <v>110</v>
      </c>
      <c r="I260" s="167"/>
      <c r="J260" s="168">
        <f t="shared" si="99"/>
        <v>1</v>
      </c>
      <c r="K260" s="169">
        <f t="shared" ref="K260:K265" si="103">IFERROR(M260*L260,"")</f>
        <v>110</v>
      </c>
      <c r="L260" s="170">
        <f>IFERROR(VLOOKUP(C260,元件库!$B:$O,10,FALSE),"1.00")</f>
        <v>1</v>
      </c>
      <c r="M260" s="171">
        <f>IFERROR(VLOOKUP(C260,元件库!$B:$O,11,FALSE),"")</f>
        <v>110</v>
      </c>
      <c r="N260" s="172" t="str">
        <f t="shared" ca="1" si="98"/>
        <v/>
      </c>
      <c r="O260" s="157"/>
    </row>
    <row r="261" spans="1:23" s="175" customFormat="1" ht="16.5" customHeight="1" x14ac:dyDescent="0.2">
      <c r="A261" s="38">
        <f>COUNTIF($J$1:J261,"!")</f>
        <v>16</v>
      </c>
      <c r="B261" s="163" t="str">
        <f>IFERROR(VLOOKUP(C261,元件库!$B:$O,3,FALSE),"")</f>
        <v>加热器</v>
      </c>
      <c r="C261" s="164" t="s">
        <v>101</v>
      </c>
      <c r="D261" s="165" t="str">
        <f>IFERROR(VLOOKUP(C261,元件库!$B:$O,2,FALSE),"")</f>
        <v>实德电气</v>
      </c>
      <c r="E261" s="166" t="str">
        <f t="shared" si="100"/>
        <v>只</v>
      </c>
      <c r="F261" s="166">
        <v>2</v>
      </c>
      <c r="G261" s="42">
        <f t="shared" si="101"/>
        <v>18</v>
      </c>
      <c r="H261" s="42">
        <f t="shared" si="102"/>
        <v>36</v>
      </c>
      <c r="I261" s="167"/>
      <c r="J261" s="168">
        <f t="shared" si="99"/>
        <v>1</v>
      </c>
      <c r="K261" s="169">
        <f t="shared" si="103"/>
        <v>18</v>
      </c>
      <c r="L261" s="170">
        <f>IFERROR(VLOOKUP(C261,元件库!$B:$O,10,FALSE),"1.00")</f>
        <v>1</v>
      </c>
      <c r="M261" s="171">
        <f>IFERROR(VLOOKUP(C261,元件库!$B:$O,11,FALSE),"")</f>
        <v>18</v>
      </c>
      <c r="N261" s="172" t="str">
        <f t="shared" ca="1" si="98"/>
        <v/>
      </c>
      <c r="O261" s="157"/>
    </row>
    <row r="262" spans="1:23" s="175" customFormat="1" ht="16.5" customHeight="1" x14ac:dyDescent="0.2">
      <c r="A262" s="38">
        <f>COUNTIF($J$1:J262,"!")</f>
        <v>16</v>
      </c>
      <c r="B262" s="163" t="str">
        <f>IFERROR(VLOOKUP(C262,元件库!$B:$O,3,FALSE),"")</f>
        <v>高压热缩管</v>
      </c>
      <c r="C262" s="185" t="str">
        <f>"10KV"&amp;MID(C264,4,10)</f>
        <v>10KV-60*6</v>
      </c>
      <c r="D262" s="165" t="str">
        <f>IFERROR(VLOOKUP(C262,元件库!$B:$O,2,FALSE),"")</f>
        <v>精益联合集团</v>
      </c>
      <c r="E262" s="166" t="str">
        <f t="shared" si="100"/>
        <v>只</v>
      </c>
      <c r="F262" s="166">
        <f>ROUND(SUM(F264:F265),0)</f>
        <v>3</v>
      </c>
      <c r="G262" s="42">
        <f t="shared" si="101"/>
        <v>12</v>
      </c>
      <c r="H262" s="42">
        <f t="shared" si="102"/>
        <v>36</v>
      </c>
      <c r="I262" s="167"/>
      <c r="J262" s="168">
        <f t="shared" si="99"/>
        <v>1</v>
      </c>
      <c r="K262" s="169">
        <f t="shared" si="103"/>
        <v>12</v>
      </c>
      <c r="L262" s="170">
        <f>IFERROR(VLOOKUP(C262,元件库!$B:$O,10,FALSE),"1.00")</f>
        <v>1</v>
      </c>
      <c r="M262" s="171">
        <f>IFERROR(VLOOKUP(C262,元件库!$B:$O,11,FALSE),"")</f>
        <v>12</v>
      </c>
      <c r="N262" s="172" t="str">
        <f t="shared" ca="1" si="98"/>
        <v/>
      </c>
      <c r="O262" s="157"/>
    </row>
    <row r="263" spans="1:23" s="175" customFormat="1" ht="16.5" customHeight="1" x14ac:dyDescent="0.2">
      <c r="A263" s="38">
        <f>COUNTIF($J$1:J263,"!")</f>
        <v>16</v>
      </c>
      <c r="B263" s="163" t="str">
        <f>IFERROR(VLOOKUP(C263,元件库!$B:$O,3,FALSE),"")</f>
        <v>铜排</v>
      </c>
      <c r="C263" s="185" t="s">
        <v>1889</v>
      </c>
      <c r="D263" s="165" t="str">
        <f>IFERROR(VLOOKUP(C263,元件库!$B:$O,2,FALSE),"")</f>
        <v>欣利铜材</v>
      </c>
      <c r="E263" s="166" t="str">
        <f t="shared" si="100"/>
        <v>米</v>
      </c>
      <c r="F263" s="166">
        <v>6</v>
      </c>
      <c r="G263" s="42">
        <f t="shared" si="101"/>
        <v>182.62799999999999</v>
      </c>
      <c r="H263" s="42">
        <f t="shared" si="102"/>
        <v>1095.768</v>
      </c>
      <c r="I263" s="167"/>
      <c r="J263" s="168">
        <f t="shared" si="99"/>
        <v>1</v>
      </c>
      <c r="K263" s="169">
        <f t="shared" si="103"/>
        <v>182.62799999999999</v>
      </c>
      <c r="L263" s="170">
        <f>IFERROR(VLOOKUP(C263,元件库!$B:$O,10,FALSE),"1.00")</f>
        <v>1</v>
      </c>
      <c r="M263" s="171">
        <f>IFERROR(VLOOKUP(C263,元件库!$B:$O,11,FALSE),"")</f>
        <v>182.62799999999999</v>
      </c>
      <c r="N263" s="172" t="str">
        <f t="shared" ca="1" si="98"/>
        <v/>
      </c>
      <c r="O263" s="174" t="str">
        <f>O265</f>
        <v>HXGN-800*900*2000</v>
      </c>
    </row>
    <row r="264" spans="1:23" s="175" customFormat="1" ht="16.5" customHeight="1" x14ac:dyDescent="0.2">
      <c r="A264" s="38">
        <f>COUNTIF($J$1:J264,"!")</f>
        <v>16</v>
      </c>
      <c r="B264" s="163" t="s">
        <v>2171</v>
      </c>
      <c r="C264" s="185" t="s">
        <v>1889</v>
      </c>
      <c r="D264" s="165" t="str">
        <f>IFERROR(VLOOKUP(C264,元件库!$B:$O,2,FALSE),"")</f>
        <v>欣利铜材</v>
      </c>
      <c r="E264" s="166" t="str">
        <f t="shared" si="100"/>
        <v>米</v>
      </c>
      <c r="F264" s="166">
        <f>1*MID(O264,FIND("-",O264)+1,FIND("*",O264)-FIND("-",O264)-1)/1000*IF(B264="水平排",3,1)+IF(AND(B264="零母排",VLOOKUP(A264,A$1:B261,2,FALSE)="低压进线柜"),1.5,0)</f>
        <v>2.4000000000000004</v>
      </c>
      <c r="G264" s="42">
        <f t="shared" si="101"/>
        <v>182.62799999999999</v>
      </c>
      <c r="H264" s="42">
        <f t="shared" si="102"/>
        <v>438.30720000000002</v>
      </c>
      <c r="I264" s="167"/>
      <c r="J264" s="168">
        <f t="shared" si="99"/>
        <v>1</v>
      </c>
      <c r="K264" s="169">
        <f t="shared" si="103"/>
        <v>182.62799999999999</v>
      </c>
      <c r="L264" s="170">
        <f>IFERROR(VLOOKUP(C264,元件库!$B:$O,10,FALSE),"1.00")</f>
        <v>1</v>
      </c>
      <c r="M264" s="171">
        <f>IFERROR(VLOOKUP(C264,元件库!$B:$O,11,FALSE),"")</f>
        <v>182.62799999999999</v>
      </c>
      <c r="N264" s="172" t="str">
        <f t="shared" ca="1" si="98"/>
        <v/>
      </c>
      <c r="O264" s="174" t="str">
        <f>O267</f>
        <v>HXGN-800*900*2000</v>
      </c>
    </row>
    <row r="265" spans="1:23" s="175" customFormat="1" ht="16.5" customHeight="1" x14ac:dyDescent="0.2">
      <c r="A265" s="38">
        <f>COUNTIF($J$1:J265,"!")</f>
        <v>16</v>
      </c>
      <c r="B265" s="163" t="s">
        <v>2172</v>
      </c>
      <c r="C265" s="185" t="s">
        <v>2326</v>
      </c>
      <c r="D265" s="165" t="str">
        <f>IFERROR(VLOOKUP(C265,元件库!$B:$O,2,FALSE),"")</f>
        <v>欣利铜材</v>
      </c>
      <c r="E265" s="166" t="str">
        <f t="shared" si="100"/>
        <v>米</v>
      </c>
      <c r="F265" s="166">
        <f>1*MID(O265,FIND("-",O265)+1,FIND("*",O265)-FIND("-",O265)-1)/1000*IF(B265="水平排",3,1)+IF(AND(B265="零母排",VLOOKUP(A265,A$1:B262,2,FALSE)="低压进线柜"),1.5,0)</f>
        <v>0.8</v>
      </c>
      <c r="G265" s="42">
        <f t="shared" si="101"/>
        <v>81.167999999999992</v>
      </c>
      <c r="H265" s="42">
        <f t="shared" si="102"/>
        <v>64.934399999999997</v>
      </c>
      <c r="I265" s="167"/>
      <c r="J265" s="168">
        <f t="shared" si="99"/>
        <v>1</v>
      </c>
      <c r="K265" s="169">
        <f t="shared" si="103"/>
        <v>81.167999999999992</v>
      </c>
      <c r="L265" s="170">
        <f>IFERROR(VLOOKUP(C265,元件库!$B:$O,10,FALSE),"1.00")</f>
        <v>1</v>
      </c>
      <c r="M265" s="171">
        <f>IFERROR(VLOOKUP(C265,元件库!$B:$O,11,FALSE),"")</f>
        <v>81.167999999999992</v>
      </c>
      <c r="N265" s="172" t="str">
        <f t="shared" ca="1" si="98"/>
        <v/>
      </c>
      <c r="O265" s="174" t="str">
        <f>O268</f>
        <v>HXGN-800*900*2000</v>
      </c>
    </row>
    <row r="266" spans="1:23" s="162" customFormat="1" ht="16.5" customHeight="1" x14ac:dyDescent="0.2">
      <c r="A266" s="38">
        <f>COUNTIF($J$1:J266,"!")</f>
        <v>16</v>
      </c>
      <c r="B266" s="177" t="s">
        <v>107</v>
      </c>
      <c r="C266" s="164"/>
      <c r="D266" s="166"/>
      <c r="E266" s="166"/>
      <c r="F266" s="166"/>
      <c r="G266" s="42"/>
      <c r="H266" s="42"/>
      <c r="I266" s="178">
        <f>SUM(H252:H266)</f>
        <v>4383.0096000000003</v>
      </c>
      <c r="J266" s="168"/>
      <c r="K266" s="169"/>
      <c r="L266" s="170"/>
      <c r="M266" s="171"/>
      <c r="O266" s="161"/>
      <c r="P266" s="157"/>
    </row>
    <row r="267" spans="1:23" ht="16.5" customHeight="1" x14ac:dyDescent="0.2">
      <c r="A267" s="38">
        <f>COUNTIF($J$1:J267,"!")</f>
        <v>16</v>
      </c>
      <c r="B267" s="179" t="s">
        <v>47</v>
      </c>
      <c r="C267" s="164"/>
      <c r="D267" s="166"/>
      <c r="E267" s="166"/>
      <c r="F267" s="166"/>
      <c r="G267" s="42"/>
      <c r="H267" s="42">
        <f>IFERROR(J267*M267*L267,"")</f>
        <v>800</v>
      </c>
      <c r="I267" s="167"/>
      <c r="J267" s="168">
        <f>P$1</f>
        <v>1</v>
      </c>
      <c r="K267" s="169">
        <f>IFERROR(M267*L267,"")</f>
        <v>800</v>
      </c>
      <c r="L267" s="170" t="str">
        <f>IFERROR(VLOOKUP(C267,元件库!$B:$O,10,FALSE),"1.00")</f>
        <v>1.00</v>
      </c>
      <c r="M267" s="171">
        <f>IF(ISNUMBER(FIND("提升",VLOOKUP(A267,A$1:B266,2,FALSE))),IF(B267="成套费",400,200),IF(OR(ISNUMBER(FIND("XGN",O267)),ISNUMBER(FIND("HXGN",O267))),IF(B267="成套费",800,600),IF(ISNUMBER(FIND("KYN28",O267)),IF(B267="成套费",900,700),"")))</f>
        <v>800</v>
      </c>
      <c r="O267" s="180" t="str">
        <f>C252</f>
        <v>HXGN-800*900*2000</v>
      </c>
      <c r="P267" s="162"/>
      <c r="R267" s="157"/>
      <c r="S267" s="157"/>
    </row>
    <row r="268" spans="1:23" s="161" customFormat="1" ht="16.5" customHeight="1" x14ac:dyDescent="0.2">
      <c r="A268" s="38">
        <f>COUNTIF($J$1:J268,"!")</f>
        <v>16</v>
      </c>
      <c r="B268" s="179" t="s">
        <v>49</v>
      </c>
      <c r="C268" s="164"/>
      <c r="D268" s="166"/>
      <c r="E268" s="166"/>
      <c r="F268" s="166"/>
      <c r="G268" s="42"/>
      <c r="H268" s="42">
        <f>IFERROR(J268*M268*L268,"")</f>
        <v>600</v>
      </c>
      <c r="I268" s="167"/>
      <c r="J268" s="168">
        <f>P$1</f>
        <v>1</v>
      </c>
      <c r="K268" s="169">
        <f>IFERROR(M268*L268,"")</f>
        <v>600</v>
      </c>
      <c r="L268" s="170" t="str">
        <f>IFERROR(VLOOKUP(C268,元件库!$B:$O,10,FALSE),"1.00")</f>
        <v>1.00</v>
      </c>
      <c r="M268" s="171">
        <f>IF(ISNUMBER(FIND("提升",VLOOKUP(A268,A$1:B267,2,FALSE))),IF(B268="成套费",400,200),IF(OR(ISNUMBER(FIND("XGN",O268)),ISNUMBER(FIND("HXGN",O268))),IF(B268="成套费",800,600),IF(ISNUMBER(FIND("KYN28",O268)),IF(B268="成套费",900,700),"")))</f>
        <v>600</v>
      </c>
      <c r="O268" s="174" t="str">
        <f>O267</f>
        <v>HXGN-800*900*2000</v>
      </c>
      <c r="P268" s="162"/>
      <c r="Q268" s="162"/>
    </row>
    <row r="269" spans="1:23" s="161" customFormat="1" ht="16.5" customHeight="1" x14ac:dyDescent="0.2">
      <c r="A269" s="38">
        <f>COUNTIF($J$1:J269,"!")</f>
        <v>16</v>
      </c>
      <c r="B269" s="179" t="s">
        <v>79</v>
      </c>
      <c r="C269" s="164"/>
      <c r="D269" s="166"/>
      <c r="E269" s="166"/>
      <c r="F269" s="166"/>
      <c r="G269" s="42"/>
      <c r="H269" s="42">
        <f>K269*L269</f>
        <v>693.96115199999997</v>
      </c>
      <c r="I269" s="167"/>
      <c r="J269" s="168"/>
      <c r="K269" s="169">
        <f>SUM(H267:H268)+I266</f>
        <v>5783.0096000000003</v>
      </c>
      <c r="L269" s="279">
        <f>R$1</f>
        <v>0.12</v>
      </c>
      <c r="M269" s="171"/>
      <c r="O269" s="181"/>
      <c r="P269" s="162"/>
      <c r="Q269" s="162"/>
    </row>
    <row r="270" spans="1:23" ht="16.5" customHeight="1" x14ac:dyDescent="0.2">
      <c r="A270" s="38">
        <f>COUNTIF($J$1:J270,"!")</f>
        <v>16</v>
      </c>
      <c r="B270" s="179" t="s">
        <v>108</v>
      </c>
      <c r="C270" s="164"/>
      <c r="D270" s="166"/>
      <c r="E270" s="166"/>
      <c r="F270" s="166"/>
      <c r="G270" s="184"/>
      <c r="H270" s="42">
        <f>K270*L270</f>
        <v>194.30912255999999</v>
      </c>
      <c r="I270" s="167"/>
      <c r="J270" s="168"/>
      <c r="K270" s="169">
        <f>H269+K269</f>
        <v>6476.9707520000002</v>
      </c>
      <c r="L270" s="279">
        <f>T$1</f>
        <v>0.03</v>
      </c>
      <c r="M270" s="171"/>
      <c r="O270" s="161"/>
      <c r="P270" s="162"/>
      <c r="R270" s="157"/>
      <c r="S270" s="157"/>
    </row>
    <row r="271" spans="1:23" ht="16.5" customHeight="1" x14ac:dyDescent="0.15">
      <c r="A271" s="32">
        <f>COUNTIF($J$1:J271,"!")</f>
        <v>17</v>
      </c>
      <c r="B271" s="33" t="str">
        <f>IF(MID(H271,1,3)="SCB","干式","油式")&amp;B272</f>
        <v>干式变压器</v>
      </c>
      <c r="C271" s="158" t="s">
        <v>179</v>
      </c>
      <c r="D271" s="159" t="s">
        <v>2336</v>
      </c>
      <c r="E271" s="34" t="s">
        <v>23</v>
      </c>
      <c r="F271" s="159">
        <v>1</v>
      </c>
      <c r="G271" s="36">
        <f>ROUND(SUM(H272:H275),0)</f>
        <v>38285</v>
      </c>
      <c r="H271" s="160" t="str">
        <f>IF(ISNUMBER(FIND("M",C272)),MID(C272,1,FIND(" ",C272)-1),MID(C272,1,FIND(" ",C272)-1))</f>
        <v>SCB11-630KVA</v>
      </c>
      <c r="I271" s="47" t="str">
        <f>MID(C272,LEN(H271)+2,30)</f>
        <v>全铝</v>
      </c>
      <c r="J271" s="48" t="s">
        <v>24</v>
      </c>
      <c r="K271" s="49"/>
      <c r="L271" s="50"/>
      <c r="M271" s="51"/>
      <c r="N271" s="161" t="str">
        <f>IF(ISNUMBER(FIND("M",C272)),MID(C272,FIND("M",C272)+2,FIND(" ",C272)-FIND("M",C272)-1),MID(C272,FIND("-",C272)+1,FIND(" ",C272)-FIND("-",C272)))</f>
        <v xml:space="preserve">630KVA </v>
      </c>
      <c r="O271" s="297"/>
    </row>
    <row r="272" spans="1:23" ht="16.5" customHeight="1" x14ac:dyDescent="0.2">
      <c r="A272" s="38">
        <f>COUNTIF($J$1:J272,"!")</f>
        <v>17</v>
      </c>
      <c r="B272" s="163" t="str">
        <f>IFERROR(VLOOKUP(C272,元件库!$B:$O,3,FALSE),"")</f>
        <v>变压器</v>
      </c>
      <c r="C272" s="298" t="s">
        <v>3124</v>
      </c>
      <c r="D272" s="165">
        <f>IFERROR(VLOOKUP(C272,元件库!$B:$O,2,FALSE),"")</f>
        <v>0</v>
      </c>
      <c r="E272" s="166" t="s">
        <v>29</v>
      </c>
      <c r="F272" s="166">
        <v>1</v>
      </c>
      <c r="G272" s="42">
        <f>IFERROR(J272*K272,"")</f>
        <v>38285</v>
      </c>
      <c r="H272" s="42">
        <f>IFERROR(G272*F272,"")</f>
        <v>38285</v>
      </c>
      <c r="I272" s="167"/>
      <c r="J272" s="168">
        <f>P$1</f>
        <v>1</v>
      </c>
      <c r="K272" s="169">
        <f>IFERROR(M272*L272,"")</f>
        <v>38285</v>
      </c>
      <c r="L272" s="170">
        <v>0.95</v>
      </c>
      <c r="M272" s="171">
        <f>IFERROR(VLOOKUP(C272,元件库!$B:$O,11,FALSE),"")</f>
        <v>40300</v>
      </c>
      <c r="N272" s="172" t="str">
        <f ca="1">IF(ISNUMBER(FIND("IF",_xlfn.FORMULATEXT(M272))),"","值")</f>
        <v/>
      </c>
      <c r="O272" s="174"/>
      <c r="P272" s="161" t="str">
        <f>IFERROR(((MID(C272,FIND(" ",C272)+1,FIND("*",C272)-FIND(" ",C272)-1)*MID(C272,FIND("*",C272)+1,FIND("*",MID(C272,FIND("*",C272)+1,30))-1))+(MID(C272,FIND(" ",C272)+1,FIND("*",C272)-FIND(" ",C272)-1)*MID(C272,FIND("*",C272)+1+FIND("*",MID(C272,FIND("*",C272)+1,30)),30))+(MID(C272,FIND("*",C272)+1,FIND("*",MID(C272,FIND("*",C272)+1,30))-1)*MID(C272,FIND("*",C272)+1+FIND("*",MID(C272,FIND("*",C272)+1,30)),30)))/500000+IFERROR(IF(ROUND(MID(C272,FIND("*",C272)+FIND("*",MID(C272,FIND("*",C272)+1,30))+1,10),0)&gt;=350,(MID(C272,FIND(" ",C272)+1,FIND("*",C272)-FIND(" ",C272)-1)*MID(C272,FIND("*",C272)+1,FIND("*",MID(C272,FIND("*",C272)+1,30))-1))/2000000,(MID(C272,FIND(" ",C272)+1,FIND("*",C272)-FIND(" ",C272)-1)*MID(C272,FIND("*",C272)+1,FIND("*",MID(C272,FIND("*",C272)+1,30))-1))/1000000),""),"")</f>
        <v/>
      </c>
      <c r="Q272" s="157"/>
    </row>
    <row r="273" spans="1:19" ht="16.5" customHeight="1" x14ac:dyDescent="0.2">
      <c r="A273" s="38">
        <f>COUNTIF($J$1:J273,"!")</f>
        <v>17</v>
      </c>
      <c r="B273" s="177" t="s">
        <v>107</v>
      </c>
      <c r="C273" s="164"/>
      <c r="D273" s="166"/>
      <c r="E273" s="166"/>
      <c r="F273" s="166"/>
      <c r="G273" s="42"/>
      <c r="H273" s="42"/>
      <c r="I273" s="178">
        <f>SUM(H272:H273)</f>
        <v>38285</v>
      </c>
      <c r="J273" s="168"/>
      <c r="K273" s="169"/>
      <c r="L273" s="170"/>
      <c r="M273" s="171"/>
      <c r="O273" s="174"/>
      <c r="P273" s="162"/>
      <c r="Q273" s="157"/>
    </row>
    <row r="274" spans="1:19" s="161" customFormat="1" ht="16.5" customHeight="1" x14ac:dyDescent="0.2">
      <c r="A274" s="38">
        <f>COUNTIF($J$1:J274,"!")</f>
        <v>17</v>
      </c>
      <c r="B274" s="179" t="s">
        <v>79</v>
      </c>
      <c r="C274" s="164"/>
      <c r="D274" s="166"/>
      <c r="E274" s="166"/>
      <c r="F274" s="166"/>
      <c r="G274" s="42"/>
      <c r="H274" s="42">
        <f>K274*L274</f>
        <v>0</v>
      </c>
      <c r="I274" s="167"/>
      <c r="J274" s="168"/>
      <c r="K274" s="169">
        <f>I273</f>
        <v>38285</v>
      </c>
      <c r="L274" s="279"/>
      <c r="M274" s="171"/>
      <c r="O274" s="181"/>
      <c r="P274" s="162"/>
      <c r="Q274" s="162"/>
    </row>
    <row r="275" spans="1:19" ht="16.5" customHeight="1" x14ac:dyDescent="0.2">
      <c r="A275" s="38">
        <f>COUNTIF($J$1:J275,"!")</f>
        <v>17</v>
      </c>
      <c r="B275" s="179" t="s">
        <v>108</v>
      </c>
      <c r="C275" s="164"/>
      <c r="D275" s="166"/>
      <c r="E275" s="166"/>
      <c r="F275" s="166"/>
      <c r="G275" s="184"/>
      <c r="H275" s="42">
        <f>K275*L275</f>
        <v>0</v>
      </c>
      <c r="I275" s="167"/>
      <c r="J275" s="168"/>
      <c r="K275" s="169">
        <f>H274+K274</f>
        <v>38285</v>
      </c>
      <c r="L275" s="299"/>
      <c r="M275" s="171"/>
      <c r="O275" s="161"/>
      <c r="P275" s="162"/>
      <c r="R275" s="157"/>
      <c r="S275" s="157"/>
    </row>
    <row r="276" spans="1:19" ht="16.5" customHeight="1" x14ac:dyDescent="0.15">
      <c r="A276" s="32">
        <f>COUNTIF($J$1:J276,"!")</f>
        <v>18</v>
      </c>
      <c r="B276" s="33" t="s">
        <v>3042</v>
      </c>
      <c r="C276" s="158" t="s">
        <v>3147</v>
      </c>
      <c r="D276" s="159" t="s">
        <v>2336</v>
      </c>
      <c r="E276" s="34" t="s">
        <v>23</v>
      </c>
      <c r="F276" s="159">
        <v>1</v>
      </c>
      <c r="G276" s="36">
        <f>ROUND(SUM(H277:H293),0)</f>
        <v>14823</v>
      </c>
      <c r="H276" s="160" t="str">
        <f>IF(ISNUMBER(FIND(" ",C277)),MID(C277,1,FIND(" ",C277)-1),IF(ISNUMBER(FIND("电容柜",B276)),"GGJ",MID(C277,1,FIND("-",C277)-1)))</f>
        <v>GGD</v>
      </c>
      <c r="I276" s="47" t="str">
        <f>MID(C277,IF(LEN(C277)-LEN(H276)&gt;3,LEN(H276)+2,1),30)</f>
        <v>800*600*2000</v>
      </c>
      <c r="J276" s="48" t="s">
        <v>24</v>
      </c>
      <c r="K276" s="49"/>
      <c r="L276" s="50"/>
      <c r="M276" s="51"/>
      <c r="O276" s="162"/>
    </row>
    <row r="277" spans="1:19" ht="16.5" customHeight="1" x14ac:dyDescent="0.2">
      <c r="A277" s="38">
        <f>COUNTIF($J$1:J277,"!")</f>
        <v>18</v>
      </c>
      <c r="B277" s="163" t="str">
        <f>IFERROR(VLOOKUP(C277,元件库!$B:$O,3,FALSE),"")</f>
        <v>壳体W*D*H</v>
      </c>
      <c r="C277" s="164" t="s">
        <v>2337</v>
      </c>
      <c r="D277" s="165" t="str">
        <f>IFERROR(VLOOKUP(C277,元件库!$B:$O,2,FALSE),"")</f>
        <v>精益联合集团</v>
      </c>
      <c r="E277" s="166" t="str">
        <f t="shared" ref="E277:E288" si="104">IF(D277="欣利铜材","米",IF(B277="熔断器","套","只"))</f>
        <v>只</v>
      </c>
      <c r="F277" s="166">
        <v>1</v>
      </c>
      <c r="G277" s="42">
        <f t="shared" ref="G277:G288" si="105">IFERROR(J277*K277,"")</f>
        <v>1782.4999999999998</v>
      </c>
      <c r="H277" s="42">
        <f t="shared" ref="H277:H288" si="106">IFERROR(G277*F277,"")</f>
        <v>1782.4999999999998</v>
      </c>
      <c r="I277" s="167"/>
      <c r="J277" s="168">
        <f>P$1</f>
        <v>1</v>
      </c>
      <c r="K277" s="169">
        <f t="shared" ref="K277:K288" si="107">IFERROR(M277*L277,"")</f>
        <v>1782.4999999999998</v>
      </c>
      <c r="L277" s="170">
        <v>1.1499999999999999</v>
      </c>
      <c r="M277" s="171">
        <f>IFERROR(VLOOKUP(C277,元件库!$B:$O,11,FALSE),"")</f>
        <v>1550</v>
      </c>
      <c r="N277" s="172" t="str">
        <f t="shared" ref="N277:N288" ca="1" si="108">IF(AND(ISNUMBER(FIND("IF",_xlfn.FORMULATEXT(L277))),ISNUMBER(FIND("IF",_xlfn.FORMULATEXT(M277)))),"","值")</f>
        <v>值</v>
      </c>
      <c r="O277" s="157" t="str">
        <f>B276</f>
        <v>低压进线柜</v>
      </c>
    </row>
    <row r="278" spans="1:19" s="173" customFormat="1" ht="16.5" customHeight="1" x14ac:dyDescent="0.2">
      <c r="A278" s="38">
        <f>COUNTIF($J$1:J278,"!")</f>
        <v>18</v>
      </c>
      <c r="B278" s="163" t="str">
        <f>IFERROR(VLOOKUP(C278,元件库!$B:$O,3,FALSE),"")</f>
        <v/>
      </c>
      <c r="C278" s="164" t="s">
        <v>3043</v>
      </c>
      <c r="D278" s="165" t="str">
        <f>IFERROR(VLOOKUP(C278,元件库!$B:$O,2,FALSE),"")</f>
        <v/>
      </c>
      <c r="E278" s="166" t="str">
        <f t="shared" si="104"/>
        <v>只</v>
      </c>
      <c r="F278" s="166">
        <v>3</v>
      </c>
      <c r="G278" s="42" t="str">
        <f t="shared" si="105"/>
        <v/>
      </c>
      <c r="H278" s="42" t="str">
        <f t="shared" si="106"/>
        <v/>
      </c>
      <c r="I278" s="167"/>
      <c r="J278" s="168">
        <f t="shared" ref="J278:J288" si="109">P$1</f>
        <v>1</v>
      </c>
      <c r="K278" s="169" t="str">
        <f t="shared" si="107"/>
        <v/>
      </c>
      <c r="L278" s="170" t="str">
        <f>IFERROR(VLOOKUP(C278,元件库!$B:$O,10,FALSE),"1.00")</f>
        <v>1.00</v>
      </c>
      <c r="M278" s="171" t="str">
        <f>IFERROR(VLOOKUP(C278,元件库!$B:$O,11,FALSE),"")</f>
        <v/>
      </c>
      <c r="N278" s="172" t="str">
        <f t="shared" ca="1" si="108"/>
        <v/>
      </c>
      <c r="P278" s="161"/>
    </row>
    <row r="279" spans="1:19" s="173" customFormat="1" ht="16.5" customHeight="1" x14ac:dyDescent="0.2">
      <c r="A279" s="38">
        <f>COUNTIF($J$1:J279,"!")</f>
        <v>18</v>
      </c>
      <c r="B279" s="163" t="str">
        <f>IFERROR(VLOOKUP(C279,元件库!$B:$O,3,FALSE),"")</f>
        <v>刀开关</v>
      </c>
      <c r="C279" s="164" t="s">
        <v>3050</v>
      </c>
      <c r="D279" s="165" t="str">
        <f>IFERROR(VLOOKUP(C279,元件库!$B:$O,2,FALSE),"")</f>
        <v>精益联合集团</v>
      </c>
      <c r="E279" s="166" t="str">
        <f t="shared" si="104"/>
        <v>只</v>
      </c>
      <c r="F279" s="166">
        <v>1</v>
      </c>
      <c r="G279" s="42">
        <f t="shared" si="105"/>
        <v>929.50000000000011</v>
      </c>
      <c r="H279" s="42">
        <f t="shared" si="106"/>
        <v>929.50000000000011</v>
      </c>
      <c r="I279" s="167"/>
      <c r="J279" s="168">
        <f t="shared" si="109"/>
        <v>1</v>
      </c>
      <c r="K279" s="169">
        <f t="shared" si="107"/>
        <v>929.50000000000011</v>
      </c>
      <c r="L279" s="170">
        <f>IFERROR(VLOOKUP(C279,元件库!$B:$O,10,FALSE),"1.00")</f>
        <v>0.55000000000000004</v>
      </c>
      <c r="M279" s="171">
        <f>IFERROR(VLOOKUP(C279,元件库!$B:$O,11,FALSE),"")</f>
        <v>1690</v>
      </c>
      <c r="N279" s="172" t="str">
        <f t="shared" ca="1" si="108"/>
        <v/>
      </c>
      <c r="P279" s="161"/>
    </row>
    <row r="280" spans="1:19" s="173" customFormat="1" ht="16.5" customHeight="1" x14ac:dyDescent="0.2">
      <c r="A280" s="38">
        <f>COUNTIF($J$1:J280,"!")</f>
        <v>18</v>
      </c>
      <c r="B280" s="163" t="str">
        <f>IFERROR(VLOOKUP(C280,元件库!$B:$O,3,FALSE),"")</f>
        <v>框架断路器</v>
      </c>
      <c r="C280" s="164" t="s">
        <v>3126</v>
      </c>
      <c r="D280" s="165" t="str">
        <f>IFERROR(VLOOKUP(C280,元件库!$B:$O,2,FALSE),"")</f>
        <v>吉坤电气</v>
      </c>
      <c r="E280" s="166" t="str">
        <f t="shared" si="104"/>
        <v>只</v>
      </c>
      <c r="F280" s="166">
        <v>1</v>
      </c>
      <c r="G280" s="42">
        <f t="shared" si="105"/>
        <v>4305</v>
      </c>
      <c r="H280" s="42">
        <f t="shared" si="106"/>
        <v>4305</v>
      </c>
      <c r="I280" s="167"/>
      <c r="J280" s="168">
        <f t="shared" si="109"/>
        <v>1</v>
      </c>
      <c r="K280" s="169">
        <f t="shared" si="107"/>
        <v>4305</v>
      </c>
      <c r="L280" s="170">
        <f>IFERROR(VLOOKUP(C280,元件库!$B:$O,10,FALSE),"1.00")</f>
        <v>1</v>
      </c>
      <c r="M280" s="171">
        <f>IFERROR(VLOOKUP(C280,元件库!$B:$O,11,FALSE),"")</f>
        <v>4305</v>
      </c>
      <c r="N280" s="172" t="str">
        <f t="shared" ca="1" si="108"/>
        <v/>
      </c>
      <c r="P280" s="161"/>
    </row>
    <row r="281" spans="1:19" s="173" customFormat="1" ht="16.5" customHeight="1" x14ac:dyDescent="0.2">
      <c r="A281" s="38">
        <f>COUNTIF($J$1:J281,"!")</f>
        <v>18</v>
      </c>
      <c r="B281" s="163" t="str">
        <f>IFERROR(VLOOKUP(C281,元件库!$B:$O,3,FALSE),"")</f>
        <v/>
      </c>
      <c r="C281" s="164" t="s">
        <v>2829</v>
      </c>
      <c r="D281" s="165" t="str">
        <f>IFERROR(VLOOKUP(C281,元件库!$B:$O,2,FALSE),"")</f>
        <v/>
      </c>
      <c r="E281" s="166" t="str">
        <f t="shared" si="104"/>
        <v>只</v>
      </c>
      <c r="F281" s="166">
        <v>3</v>
      </c>
      <c r="G281" s="42" t="str">
        <f t="shared" si="105"/>
        <v/>
      </c>
      <c r="H281" s="42" t="str">
        <f t="shared" si="106"/>
        <v/>
      </c>
      <c r="I281" s="167"/>
      <c r="J281" s="168">
        <f t="shared" si="109"/>
        <v>1</v>
      </c>
      <c r="K281" s="169" t="str">
        <f t="shared" si="107"/>
        <v/>
      </c>
      <c r="L281" s="170" t="str">
        <f>IFERROR(VLOOKUP(C281,元件库!$B:$O,10,FALSE),"1.00")</f>
        <v>1.00</v>
      </c>
      <c r="M281" s="171" t="str">
        <f>IFERROR(VLOOKUP(C281,元件库!$B:$O,11,FALSE),"")</f>
        <v/>
      </c>
      <c r="N281" s="172" t="str">
        <f t="shared" ca="1" si="108"/>
        <v/>
      </c>
      <c r="P281" s="161"/>
    </row>
    <row r="282" spans="1:19" s="173" customFormat="1" ht="16.5" customHeight="1" x14ac:dyDescent="0.2">
      <c r="A282" s="38">
        <f>COUNTIF($J$1:J282,"!")</f>
        <v>18</v>
      </c>
      <c r="B282" s="163" t="str">
        <f>IFERROR(VLOOKUP(C282,元件库!$B:$O,3,FALSE),"")</f>
        <v>电流.电压表</v>
      </c>
      <c r="C282" s="164" t="s">
        <v>1899</v>
      </c>
      <c r="D282" s="165" t="str">
        <f>IFERROR(VLOOKUP(C282,元件库!$B:$O,2,FALSE),"")</f>
        <v>精益联合集团</v>
      </c>
      <c r="E282" s="166" t="str">
        <f t="shared" si="104"/>
        <v>只</v>
      </c>
      <c r="F282" s="166">
        <v>6</v>
      </c>
      <c r="G282" s="42">
        <f t="shared" si="105"/>
        <v>13.750000000000002</v>
      </c>
      <c r="H282" s="42">
        <f t="shared" si="106"/>
        <v>82.500000000000014</v>
      </c>
      <c r="I282" s="167"/>
      <c r="J282" s="168">
        <f t="shared" si="109"/>
        <v>1</v>
      </c>
      <c r="K282" s="169">
        <f t="shared" si="107"/>
        <v>13.750000000000002</v>
      </c>
      <c r="L282" s="170">
        <f>IFERROR(VLOOKUP(C282,元件库!$B:$O,10,FALSE),"1.00")</f>
        <v>0.55000000000000004</v>
      </c>
      <c r="M282" s="171">
        <f>IFERROR(VLOOKUP(C282,元件库!$B:$O,11,FALSE),"")</f>
        <v>25</v>
      </c>
      <c r="N282" s="172" t="str">
        <f t="shared" ca="1" si="108"/>
        <v/>
      </c>
      <c r="P282" s="161"/>
    </row>
    <row r="283" spans="1:19" s="173" customFormat="1" ht="16.5" customHeight="1" x14ac:dyDescent="0.2">
      <c r="A283" s="38">
        <f>COUNTIF($J$1:J283,"!")</f>
        <v>18</v>
      </c>
      <c r="B283" s="163" t="str">
        <f>IFERROR(VLOOKUP(C283,元件库!$B:$O,3,FALSE),"")</f>
        <v>指示灯</v>
      </c>
      <c r="C283" s="164" t="s">
        <v>3044</v>
      </c>
      <c r="D283" s="165" t="str">
        <f>IFERROR(VLOOKUP(C283,元件库!$B:$O,2,FALSE),"")</f>
        <v>精益联合集团</v>
      </c>
      <c r="E283" s="166" t="str">
        <f t="shared" si="104"/>
        <v>只</v>
      </c>
      <c r="F283" s="166">
        <v>3</v>
      </c>
      <c r="G283" s="42">
        <f t="shared" si="105"/>
        <v>2.3100000000000005</v>
      </c>
      <c r="H283" s="42">
        <f t="shared" si="106"/>
        <v>6.9300000000000015</v>
      </c>
      <c r="I283" s="167"/>
      <c r="J283" s="168">
        <f t="shared" si="109"/>
        <v>1</v>
      </c>
      <c r="K283" s="169">
        <f t="shared" si="107"/>
        <v>2.3100000000000005</v>
      </c>
      <c r="L283" s="170">
        <f>IFERROR(VLOOKUP(C283,元件库!$B:$O,10,FALSE),"1.00")</f>
        <v>0.55000000000000004</v>
      </c>
      <c r="M283" s="171">
        <f>IFERROR(VLOOKUP(C283,元件库!$B:$O,11,FALSE),"")</f>
        <v>4.2</v>
      </c>
      <c r="N283" s="172" t="str">
        <f t="shared" ca="1" si="108"/>
        <v/>
      </c>
      <c r="P283" s="161"/>
    </row>
    <row r="284" spans="1:19" s="173" customFormat="1" ht="16.5" customHeight="1" x14ac:dyDescent="0.2">
      <c r="A284" s="38">
        <f>COUNTIF($J$1:J284,"!")</f>
        <v>18</v>
      </c>
      <c r="B284" s="163" t="str">
        <f>IFERROR(VLOOKUP(C284,元件库!$B:$O,3,FALSE),"")</f>
        <v/>
      </c>
      <c r="C284" s="164" t="s">
        <v>3045</v>
      </c>
      <c r="D284" s="165" t="str">
        <f>IFERROR(VLOOKUP(C284,元件库!$B:$O,2,FALSE),"")</f>
        <v/>
      </c>
      <c r="E284" s="166" t="str">
        <f t="shared" si="104"/>
        <v>只</v>
      </c>
      <c r="F284" s="166">
        <v>2</v>
      </c>
      <c r="G284" s="42" t="str">
        <f t="shared" si="105"/>
        <v/>
      </c>
      <c r="H284" s="42" t="str">
        <f t="shared" si="106"/>
        <v/>
      </c>
      <c r="I284" s="167"/>
      <c r="J284" s="168">
        <f t="shared" si="109"/>
        <v>1</v>
      </c>
      <c r="K284" s="169" t="str">
        <f t="shared" si="107"/>
        <v/>
      </c>
      <c r="L284" s="170" t="str">
        <f>IFERROR(VLOOKUP(C284,元件库!$B:$O,10,FALSE),"1.00")</f>
        <v>1.00</v>
      </c>
      <c r="M284" s="171" t="str">
        <f>IFERROR(VLOOKUP(C284,元件库!$B:$O,11,FALSE),"")</f>
        <v/>
      </c>
      <c r="N284" s="172" t="str">
        <f t="shared" ca="1" si="108"/>
        <v/>
      </c>
      <c r="P284" s="161"/>
    </row>
    <row r="285" spans="1:19" s="173" customFormat="1" ht="16.5" customHeight="1" x14ac:dyDescent="0.2">
      <c r="A285" s="38">
        <f>COUNTIF($J$1:J285,"!")</f>
        <v>18</v>
      </c>
      <c r="B285" s="163" t="str">
        <f>IFERROR(VLOOKUP(C285,元件库!$B:$O,3,FALSE),"")</f>
        <v>铜排</v>
      </c>
      <c r="C285" s="164" t="s">
        <v>2225</v>
      </c>
      <c r="D285" s="165" t="str">
        <f>IFERROR(VLOOKUP(C285,元件库!$B:$O,2,FALSE),"")</f>
        <v>欣利铜材</v>
      </c>
      <c r="E285" s="166" t="str">
        <f t="shared" si="104"/>
        <v>米</v>
      </c>
      <c r="F285" s="166">
        <v>11</v>
      </c>
      <c r="G285" s="42">
        <f t="shared" si="105"/>
        <v>324.67199999999997</v>
      </c>
      <c r="H285" s="42">
        <f t="shared" si="106"/>
        <v>3571.3919999999998</v>
      </c>
      <c r="I285" s="167"/>
      <c r="J285" s="168">
        <f t="shared" si="109"/>
        <v>1</v>
      </c>
      <c r="K285" s="169">
        <f t="shared" si="107"/>
        <v>324.67199999999997</v>
      </c>
      <c r="L285" s="170">
        <f>IFERROR(VLOOKUP(C285,元件库!$B:$O,10,FALSE),"1.00")</f>
        <v>1</v>
      </c>
      <c r="M285" s="171">
        <f>IFERROR(VLOOKUP(C285,元件库!$B:$O,11,FALSE),"")</f>
        <v>324.67199999999997</v>
      </c>
      <c r="N285" s="172" t="str">
        <f t="shared" ca="1" si="108"/>
        <v/>
      </c>
      <c r="P285" s="161"/>
    </row>
    <row r="286" spans="1:19" s="175" customFormat="1" ht="16.5" customHeight="1" x14ac:dyDescent="0.2">
      <c r="A286" s="38">
        <f>COUNTIF($J$1:J286,"!")</f>
        <v>18</v>
      </c>
      <c r="B286" s="163" t="s">
        <v>2171</v>
      </c>
      <c r="C286" s="164" t="s">
        <v>2225</v>
      </c>
      <c r="D286" s="165" t="str">
        <f>IFERROR(VLOOKUP(C286,元件库!$B:$O,2,FALSE),"")</f>
        <v>欣利铜材</v>
      </c>
      <c r="E286" s="166" t="str">
        <f t="shared" si="104"/>
        <v>米</v>
      </c>
      <c r="F286" s="166">
        <f>1*(MID(O286,FIND("-",O286)+1,FIND("*",O286)-FIND("-",O286)-1)/1000*IF(B286="水平排",3,1))</f>
        <v>2.4000000000000004</v>
      </c>
      <c r="G286" s="42">
        <f t="shared" si="105"/>
        <v>324.67199999999997</v>
      </c>
      <c r="H286" s="42">
        <f t="shared" si="106"/>
        <v>779.21280000000002</v>
      </c>
      <c r="I286" s="167"/>
      <c r="J286" s="168">
        <f t="shared" si="109"/>
        <v>1</v>
      </c>
      <c r="K286" s="169">
        <f t="shared" si="107"/>
        <v>324.67199999999997</v>
      </c>
      <c r="L286" s="170">
        <f>IFERROR(VLOOKUP(C286,元件库!$B:$O,10,FALSE),"1.00")</f>
        <v>1</v>
      </c>
      <c r="M286" s="171">
        <f>IFERROR(VLOOKUP(C286,元件库!$B:$O,11,FALSE),"")</f>
        <v>324.67199999999997</v>
      </c>
      <c r="N286" s="172" t="str">
        <f t="shared" ca="1" si="108"/>
        <v/>
      </c>
      <c r="O286" s="174" t="str">
        <f>O290</f>
        <v>GGD-800*600*2000</v>
      </c>
    </row>
    <row r="287" spans="1:19" s="175" customFormat="1" ht="16.5" customHeight="1" x14ac:dyDescent="0.2">
      <c r="A287" s="38">
        <f>COUNTIF($J$1:J287,"!")</f>
        <v>18</v>
      </c>
      <c r="B287" s="163" t="s">
        <v>2725</v>
      </c>
      <c r="C287" s="164" t="s">
        <v>1889</v>
      </c>
      <c r="D287" s="165" t="str">
        <f>IFERROR(VLOOKUP(C287,元件库!$B:$O,2,FALSE),"")</f>
        <v>欣利铜材</v>
      </c>
      <c r="E287" s="166" t="str">
        <f t="shared" si="104"/>
        <v>米</v>
      </c>
      <c r="F287" s="166">
        <f>1*(MID(O287,FIND("-",O287)+1,FIND("*",O287)-FIND("-",O287)-1)/1000*IF(B287="水平排",3,1))</f>
        <v>0.8</v>
      </c>
      <c r="G287" s="42">
        <f t="shared" si="105"/>
        <v>182.62799999999999</v>
      </c>
      <c r="H287" s="42">
        <f t="shared" si="106"/>
        <v>146.10239999999999</v>
      </c>
      <c r="I287" s="167"/>
      <c r="J287" s="168">
        <f t="shared" si="109"/>
        <v>1</v>
      </c>
      <c r="K287" s="169">
        <f t="shared" si="107"/>
        <v>182.62799999999999</v>
      </c>
      <c r="L287" s="170">
        <f>IFERROR(VLOOKUP(C287,元件库!$B:$O,10,FALSE),"1.00")</f>
        <v>1</v>
      </c>
      <c r="M287" s="171">
        <f>IFERROR(VLOOKUP(C287,元件库!$B:$O,11,FALSE),"")</f>
        <v>182.62799999999999</v>
      </c>
      <c r="N287" s="172" t="str">
        <f t="shared" ca="1" si="108"/>
        <v/>
      </c>
      <c r="O287" s="176" t="str">
        <f>O290</f>
        <v>GGD-800*600*2000</v>
      </c>
    </row>
    <row r="288" spans="1:19" s="175" customFormat="1" ht="16.5" customHeight="1" x14ac:dyDescent="0.2">
      <c r="A288" s="38">
        <f>COUNTIF($J$1:J288,"!")</f>
        <v>18</v>
      </c>
      <c r="B288" s="163" t="s">
        <v>2172</v>
      </c>
      <c r="C288" s="164" t="s">
        <v>1889</v>
      </c>
      <c r="D288" s="165" t="str">
        <f>IFERROR(VLOOKUP(C288,元件库!$B:$O,2,FALSE),"")</f>
        <v>欣利铜材</v>
      </c>
      <c r="E288" s="166" t="str">
        <f t="shared" si="104"/>
        <v>米</v>
      </c>
      <c r="F288" s="166">
        <f>1*(MID(O288,FIND("-",O288)+1,FIND("*",O288)-FIND("-",O288)-1)/1000*IF(B288="水平排",3,1))</f>
        <v>0.8</v>
      </c>
      <c r="G288" s="42">
        <f t="shared" si="105"/>
        <v>182.62799999999999</v>
      </c>
      <c r="H288" s="42">
        <f t="shared" si="106"/>
        <v>146.10239999999999</v>
      </c>
      <c r="I288" s="167"/>
      <c r="J288" s="168">
        <f t="shared" si="109"/>
        <v>1</v>
      </c>
      <c r="K288" s="169">
        <f t="shared" si="107"/>
        <v>182.62799999999999</v>
      </c>
      <c r="L288" s="170">
        <f>IFERROR(VLOOKUP(C288,元件库!$B:$O,10,FALSE),"1.00")</f>
        <v>1</v>
      </c>
      <c r="M288" s="171">
        <f>IFERROR(VLOOKUP(C288,元件库!$B:$O,11,FALSE),"")</f>
        <v>182.62799999999999</v>
      </c>
      <c r="N288" s="172" t="str">
        <f t="shared" ca="1" si="108"/>
        <v/>
      </c>
      <c r="O288" s="176" t="str">
        <f>O290</f>
        <v>GGD-800*600*2000</v>
      </c>
    </row>
    <row r="289" spans="1:23" ht="16.5" customHeight="1" x14ac:dyDescent="0.2">
      <c r="A289" s="38">
        <f>COUNTIF($J$1:J289,"!")</f>
        <v>18</v>
      </c>
      <c r="B289" s="177" t="s">
        <v>107</v>
      </c>
      <c r="C289" s="164"/>
      <c r="D289" s="166"/>
      <c r="E289" s="166"/>
      <c r="F289" s="166"/>
      <c r="G289" s="42"/>
      <c r="H289" s="42"/>
      <c r="I289" s="178">
        <f>SUM(H277:H289)</f>
        <v>11749.239599999999</v>
      </c>
      <c r="J289" s="168"/>
      <c r="K289" s="169"/>
      <c r="L289" s="170"/>
      <c r="M289" s="171"/>
      <c r="O289" s="174"/>
      <c r="P289" s="162"/>
    </row>
    <row r="290" spans="1:23" ht="16.5" customHeight="1" x14ac:dyDescent="0.2">
      <c r="A290" s="38">
        <f>COUNTIF($J$1:J290,"!")</f>
        <v>18</v>
      </c>
      <c r="B290" s="179" t="s">
        <v>47</v>
      </c>
      <c r="C290" s="164"/>
      <c r="D290" s="166"/>
      <c r="E290" s="166"/>
      <c r="F290" s="166"/>
      <c r="G290" s="42"/>
      <c r="H290" s="42">
        <f>IFERROR(J290*K290,"")</f>
        <v>800</v>
      </c>
      <c r="I290" s="167"/>
      <c r="J290" s="168">
        <f>P$1</f>
        <v>1</v>
      </c>
      <c r="K290" s="169">
        <f>L290*M290</f>
        <v>800</v>
      </c>
      <c r="L290" s="170" t="str">
        <f>IFERROR(VLOOKUP(C290,元件库!$B:$O,10,FALSE),"1.00")</f>
        <v>1.00</v>
      </c>
      <c r="M290" s="171">
        <f>IF(B290="成套费",IF(ISNUMBER(FIND("GGD",O290)),800,IF(OR(ISNUMBER(FIND("GCS",O290)),ISNUMBER(FIND("GCK",O290)),ISNUMBER(FIND("MNS",O290))),1000,"")),IF(B290="辅件费",IF(VLOOKUP(A291,A$1:B290,2,FALSE)="低压电容柜",500,300),""))</f>
        <v>800</v>
      </c>
      <c r="O290" s="180" t="str">
        <f>C277</f>
        <v>GGD-800*600*2000</v>
      </c>
    </row>
    <row r="291" spans="1:23" s="161" customFormat="1" ht="16.5" customHeight="1" x14ac:dyDescent="0.2">
      <c r="A291" s="38">
        <f>COUNTIF($J$1:J291,"!")</f>
        <v>18</v>
      </c>
      <c r="B291" s="179" t="s">
        <v>49</v>
      </c>
      <c r="C291" s="164"/>
      <c r="D291" s="166"/>
      <c r="E291" s="166"/>
      <c r="F291" s="166"/>
      <c r="G291" s="42"/>
      <c r="H291" s="42">
        <f>IFERROR(J291*K291,"")</f>
        <v>300</v>
      </c>
      <c r="I291" s="167"/>
      <c r="J291" s="168">
        <f>P$1</f>
        <v>1</v>
      </c>
      <c r="K291" s="169">
        <f>L291*M291</f>
        <v>300</v>
      </c>
      <c r="L291" s="170" t="str">
        <f>IFERROR(VLOOKUP(C291,元件库!$B:$O,10,FALSE),"1.00")</f>
        <v>1.00</v>
      </c>
      <c r="M291" s="171">
        <f>IF(B291="成套费",IF(ISNUMBER(FIND("GGD",O291)),800,IF(OR(ISNUMBER(FIND("GCS",O291)),ISNUMBER(FIND("GCK",O291)),ISNUMBER(FIND("MNS",O291))),1000,"")),IF(B291="辅件费",IF(VLOOKUP(A291,A$1:B291,2,FALSE)="低压电容柜",500,300),""))</f>
        <v>300</v>
      </c>
      <c r="N291" s="181"/>
      <c r="O291" s="182" t="str">
        <f>O290</f>
        <v>GGD-800*600*2000</v>
      </c>
      <c r="R291" s="162"/>
      <c r="S291" s="162"/>
    </row>
    <row r="292" spans="1:23" s="161" customFormat="1" ht="16.5" customHeight="1" x14ac:dyDescent="0.2">
      <c r="A292" s="38">
        <f>COUNTIF($J$1:J292,"!")</f>
        <v>18</v>
      </c>
      <c r="B292" s="179" t="s">
        <v>79</v>
      </c>
      <c r="C292" s="164"/>
      <c r="D292" s="166"/>
      <c r="E292" s="166"/>
      <c r="F292" s="166"/>
      <c r="G292" s="42"/>
      <c r="H292" s="42">
        <f>K292*L292</f>
        <v>1541.9087519999998</v>
      </c>
      <c r="I292" s="167"/>
      <c r="J292" s="168"/>
      <c r="K292" s="169">
        <f>SUM(H289:H291)+I289</f>
        <v>12849.239599999999</v>
      </c>
      <c r="L292" s="279">
        <f>R$1</f>
        <v>0.12</v>
      </c>
      <c r="M292" s="171"/>
      <c r="N292" s="181"/>
      <c r="O292" s="162"/>
      <c r="R292" s="162"/>
      <c r="S292" s="162"/>
    </row>
    <row r="293" spans="1:23" s="162" customFormat="1" ht="16.5" customHeight="1" x14ac:dyDescent="0.2">
      <c r="A293" s="38">
        <f>COUNTIF($J$1:J293,"!")</f>
        <v>18</v>
      </c>
      <c r="B293" s="179" t="s">
        <v>108</v>
      </c>
      <c r="C293" s="164"/>
      <c r="D293" s="166"/>
      <c r="E293" s="166"/>
      <c r="F293" s="166"/>
      <c r="G293" s="184"/>
      <c r="H293" s="42">
        <f>K293*L293</f>
        <v>431.73445055999991</v>
      </c>
      <c r="I293" s="167"/>
      <c r="J293" s="168"/>
      <c r="K293" s="169">
        <f>H292+K292</f>
        <v>14391.148351999998</v>
      </c>
      <c r="L293" s="279">
        <f>T$1</f>
        <v>0.03</v>
      </c>
      <c r="M293" s="171"/>
      <c r="N293" s="161"/>
      <c r="P293" s="161"/>
      <c r="T293" s="157"/>
      <c r="U293" s="157"/>
      <c r="V293" s="157"/>
      <c r="W293" s="157"/>
    </row>
    <row r="294" spans="1:23" s="162" customFormat="1" ht="16.5" customHeight="1" x14ac:dyDescent="0.15">
      <c r="A294" s="32">
        <f>COUNTIF($J$1:J294,"!")</f>
        <v>19</v>
      </c>
      <c r="B294" s="33" t="s">
        <v>3046</v>
      </c>
      <c r="C294" s="158" t="s">
        <v>3148</v>
      </c>
      <c r="D294" s="159" t="s">
        <v>2336</v>
      </c>
      <c r="E294" s="34" t="s">
        <v>23</v>
      </c>
      <c r="F294" s="159">
        <v>1</v>
      </c>
      <c r="G294" s="36">
        <f>ROUND(SUM(H295:H311),0)</f>
        <v>10525</v>
      </c>
      <c r="H294" s="160" t="str">
        <f>IF(ISNUMBER(FIND(" ",C295)),MID(C295,1,FIND(" ",C295)-1),IF(ISNUMBER(FIND("电容柜",B294)),"GGJ",MID(C295,1,FIND("-",C295)-1)))</f>
        <v>GGJ</v>
      </c>
      <c r="I294" s="47" t="str">
        <f>MID(C295,IF(LEN(C295)-LEN(H294)&gt;3,LEN(H294)+2,1),30)</f>
        <v>800*600*2000</v>
      </c>
      <c r="J294" s="48" t="s">
        <v>24</v>
      </c>
      <c r="K294" s="49"/>
      <c r="L294" s="50"/>
      <c r="M294" s="51"/>
      <c r="N294" s="161"/>
      <c r="P294" s="161"/>
      <c r="T294" s="157"/>
      <c r="U294" s="157"/>
      <c r="V294" s="157"/>
      <c r="W294" s="157"/>
    </row>
    <row r="295" spans="1:23" s="162" customFormat="1" ht="16.5" customHeight="1" x14ac:dyDescent="0.2">
      <c r="A295" s="38">
        <f>COUNTIF($J$1:J295,"!")</f>
        <v>19</v>
      </c>
      <c r="B295" s="163" t="str">
        <f>IFERROR(VLOOKUP(C295,元件库!$B:$O,3,FALSE),"")</f>
        <v>壳体W*D*H</v>
      </c>
      <c r="C295" s="164" t="s">
        <v>2337</v>
      </c>
      <c r="D295" s="165" t="str">
        <f>IFERROR(VLOOKUP(C295,元件库!$B:$O,2,FALSE),"")</f>
        <v>精益联合集团</v>
      </c>
      <c r="E295" s="166" t="str">
        <f t="shared" ref="E295:E306" si="110">IF(D295="欣利铜材","米",IF(B295="熔断器","套","只"))</f>
        <v>只</v>
      </c>
      <c r="F295" s="166">
        <v>1</v>
      </c>
      <c r="G295" s="42">
        <f t="shared" ref="G295:G306" si="111">IFERROR(J295*K295,"")</f>
        <v>1550</v>
      </c>
      <c r="H295" s="42">
        <f t="shared" ref="H295:H306" si="112">IFERROR(G295*F295,"")</f>
        <v>1550</v>
      </c>
      <c r="I295" s="167"/>
      <c r="J295" s="168">
        <f>P$1</f>
        <v>1</v>
      </c>
      <c r="K295" s="169">
        <f t="shared" ref="K295:K306" si="113">IFERROR(M295*L295,"")</f>
        <v>1550</v>
      </c>
      <c r="L295" s="170">
        <f>IFERROR(VLOOKUP(C295,元件库!$B:$O,10,FALSE),"1.00")</f>
        <v>1</v>
      </c>
      <c r="M295" s="171">
        <f>IFERROR(VLOOKUP(C295,元件库!$B:$O,11,FALSE),"")</f>
        <v>1550</v>
      </c>
      <c r="N295" s="172" t="str">
        <f t="shared" ref="N295:N306" ca="1" si="114">IF(AND(ISNUMBER(FIND("IF",_xlfn.FORMULATEXT(L295))),ISNUMBER(FIND("IF",_xlfn.FORMULATEXT(M295)))),"","值")</f>
        <v/>
      </c>
      <c r="O295" s="157" t="str">
        <f>B294</f>
        <v>低压电容柜</v>
      </c>
      <c r="P295" s="161"/>
      <c r="T295" s="157"/>
      <c r="U295" s="157"/>
      <c r="V295" s="157"/>
      <c r="W295" s="157"/>
    </row>
    <row r="296" spans="1:23" s="173" customFormat="1" ht="16.5" customHeight="1" x14ac:dyDescent="0.2">
      <c r="A296" s="38">
        <f>COUNTIF($J$1:J296,"!")</f>
        <v>19</v>
      </c>
      <c r="B296" s="163" t="str">
        <f>IFERROR(VLOOKUP(C296,元件库!$B:$O,3,FALSE),"")</f>
        <v>刀开关</v>
      </c>
      <c r="C296" s="164" t="s">
        <v>2849</v>
      </c>
      <c r="D296" s="165" t="str">
        <f>IFERROR(VLOOKUP(C296,元件库!$B:$O,2,FALSE),"")</f>
        <v>精益联合集团</v>
      </c>
      <c r="E296" s="166" t="str">
        <f t="shared" si="110"/>
        <v>只</v>
      </c>
      <c r="F296" s="166">
        <v>1</v>
      </c>
      <c r="G296" s="42">
        <f t="shared" si="111"/>
        <v>192.50000000000003</v>
      </c>
      <c r="H296" s="42">
        <f t="shared" si="112"/>
        <v>192.50000000000003</v>
      </c>
      <c r="I296" s="167"/>
      <c r="J296" s="168">
        <f t="shared" ref="J296:J306" si="115">P$1</f>
        <v>1</v>
      </c>
      <c r="K296" s="169">
        <f t="shared" si="113"/>
        <v>192.50000000000003</v>
      </c>
      <c r="L296" s="170">
        <f>IFERROR(VLOOKUP(C296,元件库!$B:$O,10,FALSE),"1.00")</f>
        <v>0.55000000000000004</v>
      </c>
      <c r="M296" s="171">
        <f>IFERROR(VLOOKUP(C296,元件库!$B:$O,11,FALSE),"")</f>
        <v>350</v>
      </c>
      <c r="N296" s="172" t="str">
        <f t="shared" ca="1" si="114"/>
        <v/>
      </c>
      <c r="P296" s="161"/>
    </row>
    <row r="297" spans="1:23" s="173" customFormat="1" ht="16.5" customHeight="1" x14ac:dyDescent="0.2">
      <c r="A297" s="38">
        <f>COUNTIF($J$1:J297,"!")</f>
        <v>19</v>
      </c>
      <c r="B297" s="163" t="str">
        <f>IFERROR(VLOOKUP(C297,元件库!$B:$O,3,FALSE),"")</f>
        <v/>
      </c>
      <c r="C297" s="164" t="s">
        <v>3128</v>
      </c>
      <c r="D297" s="165" t="str">
        <f>IFERROR(VLOOKUP(C297,元件库!$B:$O,2,FALSE),"")</f>
        <v/>
      </c>
      <c r="E297" s="166" t="str">
        <f t="shared" si="110"/>
        <v>只</v>
      </c>
      <c r="F297" s="166">
        <v>3</v>
      </c>
      <c r="G297" s="42" t="str">
        <f t="shared" si="111"/>
        <v/>
      </c>
      <c r="H297" s="42" t="str">
        <f t="shared" si="112"/>
        <v/>
      </c>
      <c r="I297" s="167"/>
      <c r="J297" s="168">
        <f t="shared" si="115"/>
        <v>1</v>
      </c>
      <c r="K297" s="169" t="str">
        <f t="shared" si="113"/>
        <v/>
      </c>
      <c r="L297" s="170" t="str">
        <f>IFERROR(VLOOKUP(C297,元件库!$B:$O,10,FALSE),"1.00")</f>
        <v>1.00</v>
      </c>
      <c r="M297" s="171" t="str">
        <f>IFERROR(VLOOKUP(C297,元件库!$B:$O,11,FALSE),"")</f>
        <v/>
      </c>
      <c r="N297" s="172" t="str">
        <f t="shared" ca="1" si="114"/>
        <v/>
      </c>
      <c r="P297" s="161"/>
    </row>
    <row r="298" spans="1:23" s="173" customFormat="1" ht="16.5" customHeight="1" x14ac:dyDescent="0.2">
      <c r="A298" s="38">
        <f>COUNTIF($J$1:J298,"!")</f>
        <v>19</v>
      </c>
      <c r="B298" s="163" t="str">
        <f>IFERROR(VLOOKUP(C298,元件库!$B:$O,3,FALSE),"")</f>
        <v>电流.电压表</v>
      </c>
      <c r="C298" s="164" t="s">
        <v>1899</v>
      </c>
      <c r="D298" s="165" t="str">
        <f>IFERROR(VLOOKUP(C298,元件库!$B:$O,2,FALSE),"")</f>
        <v>精益联合集团</v>
      </c>
      <c r="E298" s="166" t="str">
        <f t="shared" si="110"/>
        <v>只</v>
      </c>
      <c r="F298" s="166">
        <v>6</v>
      </c>
      <c r="G298" s="42">
        <f t="shared" si="111"/>
        <v>13.750000000000002</v>
      </c>
      <c r="H298" s="42">
        <f t="shared" si="112"/>
        <v>82.500000000000014</v>
      </c>
      <c r="I298" s="167"/>
      <c r="J298" s="168">
        <f t="shared" si="115"/>
        <v>1</v>
      </c>
      <c r="K298" s="169">
        <f t="shared" si="113"/>
        <v>13.750000000000002</v>
      </c>
      <c r="L298" s="170">
        <f>IFERROR(VLOOKUP(C298,元件库!$B:$O,10,FALSE),"1.00")</f>
        <v>0.55000000000000004</v>
      </c>
      <c r="M298" s="171">
        <f>IFERROR(VLOOKUP(C298,元件库!$B:$O,11,FALSE),"")</f>
        <v>25</v>
      </c>
      <c r="N298" s="172" t="str">
        <f t="shared" ca="1" si="114"/>
        <v/>
      </c>
      <c r="P298" s="161"/>
    </row>
    <row r="299" spans="1:23" s="173" customFormat="1" ht="16.5" customHeight="1" x14ac:dyDescent="0.2">
      <c r="A299" s="38">
        <f>COUNTIF($J$1:J299,"!")</f>
        <v>19</v>
      </c>
      <c r="B299" s="163" t="str">
        <f>IFERROR(VLOOKUP(C299,元件库!$B:$O,3,FALSE),"")</f>
        <v>氧化锌避雷器</v>
      </c>
      <c r="C299" s="164" t="s">
        <v>3048</v>
      </c>
      <c r="D299" s="165" t="str">
        <f>IFERROR(VLOOKUP(C299,元件库!$B:$O,2,FALSE),"")</f>
        <v>精益联合集团</v>
      </c>
      <c r="E299" s="166" t="str">
        <f t="shared" si="110"/>
        <v>只</v>
      </c>
      <c r="F299" s="166">
        <v>3</v>
      </c>
      <c r="G299" s="42">
        <f t="shared" si="111"/>
        <v>9.9</v>
      </c>
      <c r="H299" s="42">
        <f t="shared" si="112"/>
        <v>29.700000000000003</v>
      </c>
      <c r="I299" s="167"/>
      <c r="J299" s="168">
        <f t="shared" si="115"/>
        <v>1</v>
      </c>
      <c r="K299" s="169">
        <f t="shared" si="113"/>
        <v>9.9</v>
      </c>
      <c r="L299" s="170">
        <f>IFERROR(VLOOKUP(C299,元件库!$B:$O,10,FALSE),"1.00")</f>
        <v>0.55000000000000004</v>
      </c>
      <c r="M299" s="171">
        <f>IFERROR(VLOOKUP(C299,元件库!$B:$O,11,FALSE),"")</f>
        <v>18</v>
      </c>
      <c r="N299" s="172" t="str">
        <f t="shared" ca="1" si="114"/>
        <v/>
      </c>
      <c r="P299" s="161"/>
    </row>
    <row r="300" spans="1:23" s="173" customFormat="1" ht="16.5" customHeight="1" x14ac:dyDescent="0.2">
      <c r="A300" s="38">
        <f>COUNTIF($J$1:J300,"!")</f>
        <v>19</v>
      </c>
      <c r="B300" s="163" t="str">
        <f>IFERROR(VLOOKUP(C300,元件库!$B:$O,3,FALSE),"")</f>
        <v>智能电容器</v>
      </c>
      <c r="C300" s="164" t="s">
        <v>3149</v>
      </c>
      <c r="D300" s="165" t="str">
        <f>IFERROR(VLOOKUP(C300,元件库!$B:$O,2,FALSE),"")</f>
        <v>九康电气</v>
      </c>
      <c r="E300" s="166" t="str">
        <f t="shared" si="110"/>
        <v>只</v>
      </c>
      <c r="F300" s="166">
        <v>6</v>
      </c>
      <c r="G300" s="42">
        <f t="shared" si="111"/>
        <v>715</v>
      </c>
      <c r="H300" s="42">
        <f t="shared" si="112"/>
        <v>4290</v>
      </c>
      <c r="I300" s="167"/>
      <c r="J300" s="168">
        <f t="shared" si="115"/>
        <v>1</v>
      </c>
      <c r="K300" s="169">
        <f t="shared" si="113"/>
        <v>715</v>
      </c>
      <c r="L300" s="170">
        <f>IFERROR(VLOOKUP(C300,元件库!$B:$O,10,FALSE),"1.00")</f>
        <v>1</v>
      </c>
      <c r="M300" s="171">
        <f>IFERROR(VLOOKUP(C300,元件库!$B:$O,11,FALSE),"")</f>
        <v>715</v>
      </c>
      <c r="N300" s="172" t="str">
        <f t="shared" ca="1" si="114"/>
        <v/>
      </c>
      <c r="P300" s="161"/>
    </row>
    <row r="301" spans="1:23" s="173" customFormat="1" ht="16.5" customHeight="1" x14ac:dyDescent="0.2">
      <c r="A301" s="38">
        <f>COUNTIF($J$1:J301,"!")</f>
        <v>19</v>
      </c>
      <c r="B301" s="163" t="str">
        <f>IFERROR(VLOOKUP(C301,元件库!$B:$O,3,FALSE),"")</f>
        <v>补偿控制器</v>
      </c>
      <c r="C301" s="164" t="s">
        <v>3129</v>
      </c>
      <c r="D301" s="165" t="str">
        <f>IFERROR(VLOOKUP(C301,元件库!$B:$O,2,FALSE),"")</f>
        <v>九康电气</v>
      </c>
      <c r="E301" s="166" t="str">
        <f t="shared" si="110"/>
        <v>只</v>
      </c>
      <c r="F301" s="166">
        <v>1</v>
      </c>
      <c r="G301" s="42">
        <f t="shared" si="111"/>
        <v>320</v>
      </c>
      <c r="H301" s="42">
        <f t="shared" si="112"/>
        <v>320</v>
      </c>
      <c r="I301" s="167"/>
      <c r="J301" s="168">
        <f t="shared" si="115"/>
        <v>1</v>
      </c>
      <c r="K301" s="169">
        <f t="shared" si="113"/>
        <v>320</v>
      </c>
      <c r="L301" s="170">
        <f>IFERROR(VLOOKUP(C301,元件库!$B:$O,10,FALSE),"1.00")</f>
        <v>1</v>
      </c>
      <c r="M301" s="171">
        <f>IFERROR(VLOOKUP(C301,元件库!$B:$O,11,FALSE),"")</f>
        <v>320</v>
      </c>
      <c r="N301" s="172" t="str">
        <f t="shared" ca="1" si="114"/>
        <v/>
      </c>
      <c r="P301" s="161"/>
    </row>
    <row r="302" spans="1:23" s="173" customFormat="1" ht="16.5" customHeight="1" x14ac:dyDescent="0.2">
      <c r="A302" s="38">
        <f>COUNTIF($J$1:J302,"!")</f>
        <v>19</v>
      </c>
      <c r="B302" s="163" t="str">
        <f>IFERROR(VLOOKUP(C302,元件库!$B:$O,3,FALSE),"")</f>
        <v>指示灯</v>
      </c>
      <c r="C302" s="164" t="s">
        <v>3044</v>
      </c>
      <c r="D302" s="165" t="str">
        <f>IFERROR(VLOOKUP(C302,元件库!$B:$O,2,FALSE),"")</f>
        <v>精益联合集团</v>
      </c>
      <c r="E302" s="166" t="str">
        <f t="shared" si="110"/>
        <v>只</v>
      </c>
      <c r="F302" s="166">
        <v>6</v>
      </c>
      <c r="G302" s="42">
        <f t="shared" si="111"/>
        <v>2.3100000000000005</v>
      </c>
      <c r="H302" s="42">
        <f t="shared" si="112"/>
        <v>13.860000000000003</v>
      </c>
      <c r="I302" s="167"/>
      <c r="J302" s="168">
        <f t="shared" si="115"/>
        <v>1</v>
      </c>
      <c r="K302" s="169">
        <f t="shared" si="113"/>
        <v>2.3100000000000005</v>
      </c>
      <c r="L302" s="170">
        <f>IFERROR(VLOOKUP(C302,元件库!$B:$O,10,FALSE),"1.00")</f>
        <v>0.55000000000000004</v>
      </c>
      <c r="M302" s="171">
        <f>IFERROR(VLOOKUP(C302,元件库!$B:$O,11,FALSE),"")</f>
        <v>4.2</v>
      </c>
      <c r="N302" s="172" t="str">
        <f t="shared" ca="1" si="114"/>
        <v/>
      </c>
      <c r="P302" s="161"/>
    </row>
    <row r="303" spans="1:23" s="173" customFormat="1" ht="16.5" customHeight="1" x14ac:dyDescent="0.2">
      <c r="A303" s="38">
        <f>COUNTIF($J$1:J303,"!")</f>
        <v>19</v>
      </c>
      <c r="B303" s="163" t="str">
        <f>IFERROR(VLOOKUP(C303,元件库!$B:$O,3,FALSE),"")</f>
        <v>铜排</v>
      </c>
      <c r="C303" s="164" t="s">
        <v>1910</v>
      </c>
      <c r="D303" s="165" t="str">
        <f>IFERROR(VLOOKUP(C303,元件库!$B:$O,2,FALSE),"")</f>
        <v>欣利铜材</v>
      </c>
      <c r="E303" s="166" t="str">
        <f t="shared" si="110"/>
        <v>米</v>
      </c>
      <c r="F303" s="166">
        <v>6</v>
      </c>
      <c r="G303" s="42">
        <f t="shared" si="111"/>
        <v>45.656999999999996</v>
      </c>
      <c r="H303" s="42">
        <f t="shared" si="112"/>
        <v>273.94200000000001</v>
      </c>
      <c r="I303" s="167"/>
      <c r="J303" s="168">
        <f t="shared" si="115"/>
        <v>1</v>
      </c>
      <c r="K303" s="169">
        <f t="shared" si="113"/>
        <v>45.656999999999996</v>
      </c>
      <c r="L303" s="170">
        <f>IFERROR(VLOOKUP(C303,元件库!$B:$O,10,FALSE),"1.00")</f>
        <v>1</v>
      </c>
      <c r="M303" s="171">
        <f>IFERROR(VLOOKUP(C303,元件库!$B:$O,11,FALSE),"")</f>
        <v>45.656999999999996</v>
      </c>
      <c r="N303" s="172" t="str">
        <f t="shared" ca="1" si="114"/>
        <v/>
      </c>
      <c r="P303" s="161"/>
    </row>
    <row r="304" spans="1:23" s="175" customFormat="1" ht="16.5" customHeight="1" x14ac:dyDescent="0.2">
      <c r="A304" s="38">
        <f>COUNTIF($J$1:J304,"!")</f>
        <v>19</v>
      </c>
      <c r="B304" s="163" t="s">
        <v>2171</v>
      </c>
      <c r="C304" s="164" t="s">
        <v>2225</v>
      </c>
      <c r="D304" s="165" t="str">
        <f>IFERROR(VLOOKUP(C304,元件库!$B:$O,2,FALSE),"")</f>
        <v>欣利铜材</v>
      </c>
      <c r="E304" s="166" t="str">
        <f t="shared" si="110"/>
        <v>米</v>
      </c>
      <c r="F304" s="166">
        <f>1*(MID(O304,FIND("-",O304)+1,FIND("*",O304)-FIND("-",O304)-1)/1000*IF(B304="水平排",3,1))</f>
        <v>2.4000000000000004</v>
      </c>
      <c r="G304" s="42">
        <f t="shared" si="111"/>
        <v>324.67199999999997</v>
      </c>
      <c r="H304" s="42">
        <f t="shared" si="112"/>
        <v>779.21280000000002</v>
      </c>
      <c r="I304" s="167"/>
      <c r="J304" s="168">
        <f t="shared" si="115"/>
        <v>1</v>
      </c>
      <c r="K304" s="169">
        <f t="shared" si="113"/>
        <v>324.67199999999997</v>
      </c>
      <c r="L304" s="170">
        <f>IFERROR(VLOOKUP(C304,元件库!$B:$O,10,FALSE),"1.00")</f>
        <v>1</v>
      </c>
      <c r="M304" s="171">
        <f>IFERROR(VLOOKUP(C304,元件库!$B:$O,11,FALSE),"")</f>
        <v>324.67199999999997</v>
      </c>
      <c r="N304" s="172" t="str">
        <f t="shared" ca="1" si="114"/>
        <v/>
      </c>
      <c r="O304" s="174" t="str">
        <f>O308</f>
        <v>GGD-800*600*2000</v>
      </c>
    </row>
    <row r="305" spans="1:19" s="175" customFormat="1" ht="16.5" customHeight="1" x14ac:dyDescent="0.2">
      <c r="A305" s="38">
        <f>COUNTIF($J$1:J305,"!")</f>
        <v>19</v>
      </c>
      <c r="B305" s="163" t="s">
        <v>2725</v>
      </c>
      <c r="C305" s="164" t="s">
        <v>1889</v>
      </c>
      <c r="D305" s="165" t="str">
        <f>IFERROR(VLOOKUP(C305,元件库!$B:$O,2,FALSE),"")</f>
        <v>欣利铜材</v>
      </c>
      <c r="E305" s="166" t="str">
        <f t="shared" si="110"/>
        <v>米</v>
      </c>
      <c r="F305" s="166">
        <f>1*(MID(O305,FIND("-",O305)+1,FIND("*",O305)-FIND("-",O305)-1)/1000*IF(B305="水平排",3,1))</f>
        <v>0.8</v>
      </c>
      <c r="G305" s="42">
        <f t="shared" si="111"/>
        <v>182.62799999999999</v>
      </c>
      <c r="H305" s="42">
        <f t="shared" si="112"/>
        <v>146.10239999999999</v>
      </c>
      <c r="I305" s="167"/>
      <c r="J305" s="168">
        <f t="shared" si="115"/>
        <v>1</v>
      </c>
      <c r="K305" s="169">
        <f t="shared" si="113"/>
        <v>182.62799999999999</v>
      </c>
      <c r="L305" s="170">
        <f>IFERROR(VLOOKUP(C305,元件库!$B:$O,10,FALSE),"1.00")</f>
        <v>1</v>
      </c>
      <c r="M305" s="171">
        <f>IFERROR(VLOOKUP(C305,元件库!$B:$O,11,FALSE),"")</f>
        <v>182.62799999999999</v>
      </c>
      <c r="N305" s="172" t="str">
        <f t="shared" ca="1" si="114"/>
        <v/>
      </c>
      <c r="O305" s="176" t="str">
        <f>O308</f>
        <v>GGD-800*600*2000</v>
      </c>
    </row>
    <row r="306" spans="1:19" s="175" customFormat="1" ht="16.5" customHeight="1" x14ac:dyDescent="0.2">
      <c r="A306" s="38">
        <f>COUNTIF($J$1:J306,"!")</f>
        <v>19</v>
      </c>
      <c r="B306" s="163" t="s">
        <v>2172</v>
      </c>
      <c r="C306" s="164" t="s">
        <v>1889</v>
      </c>
      <c r="D306" s="165" t="str">
        <f>IFERROR(VLOOKUP(C306,元件库!$B:$O,2,FALSE),"")</f>
        <v>欣利铜材</v>
      </c>
      <c r="E306" s="166" t="str">
        <f t="shared" si="110"/>
        <v>米</v>
      </c>
      <c r="F306" s="166">
        <f>1*(MID(O306,FIND("-",O306)+1,FIND("*",O306)-FIND("-",O306)-1)/1000*IF(B306="水平排",3,1))</f>
        <v>0.8</v>
      </c>
      <c r="G306" s="42">
        <f t="shared" si="111"/>
        <v>182.62799999999999</v>
      </c>
      <c r="H306" s="42">
        <f t="shared" si="112"/>
        <v>146.10239999999999</v>
      </c>
      <c r="I306" s="167"/>
      <c r="J306" s="168">
        <f t="shared" si="115"/>
        <v>1</v>
      </c>
      <c r="K306" s="169">
        <f t="shared" si="113"/>
        <v>182.62799999999999</v>
      </c>
      <c r="L306" s="170">
        <f>IFERROR(VLOOKUP(C306,元件库!$B:$O,10,FALSE),"1.00")</f>
        <v>1</v>
      </c>
      <c r="M306" s="171">
        <f>IFERROR(VLOOKUP(C306,元件库!$B:$O,11,FALSE),"")</f>
        <v>182.62799999999999</v>
      </c>
      <c r="N306" s="172" t="str">
        <f t="shared" ca="1" si="114"/>
        <v/>
      </c>
      <c r="O306" s="176" t="str">
        <f>O308</f>
        <v>GGD-800*600*2000</v>
      </c>
    </row>
    <row r="307" spans="1:19" ht="16.5" customHeight="1" x14ac:dyDescent="0.2">
      <c r="A307" s="38">
        <f>COUNTIF($J$1:J307,"!")</f>
        <v>19</v>
      </c>
      <c r="B307" s="177" t="s">
        <v>107</v>
      </c>
      <c r="C307" s="164"/>
      <c r="D307" s="166"/>
      <c r="E307" s="166"/>
      <c r="F307" s="166"/>
      <c r="G307" s="42"/>
      <c r="H307" s="42"/>
      <c r="I307" s="178">
        <f>SUM(H295:H307)</f>
        <v>7823.9195999999993</v>
      </c>
      <c r="J307" s="168"/>
      <c r="K307" s="169"/>
      <c r="L307" s="170"/>
      <c r="M307" s="171"/>
      <c r="O307" s="174"/>
      <c r="P307" s="162"/>
    </row>
    <row r="308" spans="1:19" ht="16.5" customHeight="1" x14ac:dyDescent="0.2">
      <c r="A308" s="38">
        <f>COUNTIF($J$1:J308,"!")</f>
        <v>19</v>
      </c>
      <c r="B308" s="179" t="s">
        <v>47</v>
      </c>
      <c r="C308" s="164"/>
      <c r="D308" s="166"/>
      <c r="E308" s="166"/>
      <c r="F308" s="166"/>
      <c r="G308" s="42"/>
      <c r="H308" s="42">
        <f>IFERROR(J308*K308,"")</f>
        <v>800</v>
      </c>
      <c r="I308" s="167"/>
      <c r="J308" s="168">
        <f>P$1</f>
        <v>1</v>
      </c>
      <c r="K308" s="169">
        <f>L308*M308</f>
        <v>800</v>
      </c>
      <c r="L308" s="170" t="str">
        <f>IFERROR(VLOOKUP(C308,元件库!$B:$O,10,FALSE),"1.00")</f>
        <v>1.00</v>
      </c>
      <c r="M308" s="171">
        <f>IF(B308="成套费",IF(ISNUMBER(FIND("GGD",O308)),800,IF(OR(ISNUMBER(FIND("GCS",O308)),ISNUMBER(FIND("GCK",O308)),ISNUMBER(FIND("MNS",O308))),1000,"")),IF(B308="辅件费",IF(VLOOKUP(A309,A$1:B308,2,FALSE)="低压电容柜",500,300),""))</f>
        <v>800</v>
      </c>
      <c r="O308" s="180" t="str">
        <f>C295</f>
        <v>GGD-800*600*2000</v>
      </c>
    </row>
    <row r="309" spans="1:19" s="161" customFormat="1" ht="16.5" customHeight="1" x14ac:dyDescent="0.2">
      <c r="A309" s="38">
        <f>COUNTIF($J$1:J309,"!")</f>
        <v>19</v>
      </c>
      <c r="B309" s="179" t="s">
        <v>49</v>
      </c>
      <c r="C309" s="164"/>
      <c r="D309" s="166"/>
      <c r="E309" s="166"/>
      <c r="F309" s="166"/>
      <c r="G309" s="42"/>
      <c r="H309" s="42">
        <f>IFERROR(J309*K309,"")</f>
        <v>500</v>
      </c>
      <c r="I309" s="167"/>
      <c r="J309" s="168">
        <f>P$1</f>
        <v>1</v>
      </c>
      <c r="K309" s="169">
        <f>L309*M309</f>
        <v>500</v>
      </c>
      <c r="L309" s="170" t="str">
        <f>IFERROR(VLOOKUP(C309,元件库!$B:$O,10,FALSE),"1.00")</f>
        <v>1.00</v>
      </c>
      <c r="M309" s="171">
        <f>IF(B309="成套费",IF(ISNUMBER(FIND("GGD",O309)),800,IF(OR(ISNUMBER(FIND("GCS",O309)),ISNUMBER(FIND("GCK",O309)),ISNUMBER(FIND("MNS",O309))),1000,"")),IF(B309="辅件费",IF(VLOOKUP(A309,A$1:B309,2,FALSE)="低压电容柜",500,300),""))</f>
        <v>500</v>
      </c>
      <c r="N309" s="181"/>
      <c r="O309" s="182" t="str">
        <f>O308</f>
        <v>GGD-800*600*2000</v>
      </c>
      <c r="R309" s="162"/>
      <c r="S309" s="162"/>
    </row>
    <row r="310" spans="1:19" s="161" customFormat="1" ht="16.5" customHeight="1" x14ac:dyDescent="0.2">
      <c r="A310" s="38">
        <f>COUNTIF($J$1:J310,"!")</f>
        <v>19</v>
      </c>
      <c r="B310" s="179" t="s">
        <v>79</v>
      </c>
      <c r="C310" s="164"/>
      <c r="D310" s="166"/>
      <c r="E310" s="166"/>
      <c r="F310" s="166"/>
      <c r="G310" s="42"/>
      <c r="H310" s="42">
        <f>K310*L310</f>
        <v>1094.8703519999999</v>
      </c>
      <c r="I310" s="167"/>
      <c r="J310" s="168"/>
      <c r="K310" s="169">
        <f>SUM(H307:H309)+I307</f>
        <v>9123.9195999999993</v>
      </c>
      <c r="L310" s="279">
        <f>R$1</f>
        <v>0.12</v>
      </c>
      <c r="M310" s="171"/>
      <c r="N310" s="181"/>
      <c r="O310" s="162"/>
      <c r="R310" s="162"/>
      <c r="S310" s="162"/>
    </row>
    <row r="311" spans="1:19" ht="16.5" customHeight="1" x14ac:dyDescent="0.2">
      <c r="A311" s="38">
        <f>COUNTIF($J$1:J311,"!")</f>
        <v>19</v>
      </c>
      <c r="B311" s="179" t="s">
        <v>108</v>
      </c>
      <c r="C311" s="164"/>
      <c r="D311" s="166"/>
      <c r="E311" s="166"/>
      <c r="F311" s="166"/>
      <c r="G311" s="184"/>
      <c r="H311" s="42">
        <f>K311*L311</f>
        <v>306.56369855999998</v>
      </c>
      <c r="I311" s="167"/>
      <c r="J311" s="168"/>
      <c r="K311" s="169">
        <f>H310+K310</f>
        <v>10218.789951999999</v>
      </c>
      <c r="L311" s="279">
        <f>T$1</f>
        <v>0.03</v>
      </c>
      <c r="M311" s="171"/>
      <c r="O311" s="162"/>
    </row>
    <row r="312" spans="1:19" ht="16.5" customHeight="1" x14ac:dyDescent="0.15">
      <c r="A312" s="32">
        <f>COUNTIF($J$1:J312,"!")</f>
        <v>20</v>
      </c>
      <c r="B312" s="33" t="s">
        <v>2726</v>
      </c>
      <c r="C312" s="158" t="s">
        <v>3150</v>
      </c>
      <c r="D312" s="159" t="s">
        <v>2336</v>
      </c>
      <c r="E312" s="34" t="s">
        <v>23</v>
      </c>
      <c r="F312" s="159">
        <v>2</v>
      </c>
      <c r="G312" s="36">
        <f>ROUND(SUM(H313:H328),0)</f>
        <v>9668</v>
      </c>
      <c r="H312" s="160" t="str">
        <f>IF(ISNUMBER(FIND(" ",C313)),MID(C313,1,FIND(" ",C313)-1),IF(ISNUMBER(FIND("电容柜",B312)),"GGJ",MID(C313,1,FIND("-",C313)-1)))</f>
        <v>GGD</v>
      </c>
      <c r="I312" s="47" t="str">
        <f>MID(C313,IF(LEN(C313)-LEN(H312)&gt;3,LEN(H312)+2,1),30)</f>
        <v>1200*600*2000</v>
      </c>
      <c r="J312" s="48" t="s">
        <v>24</v>
      </c>
      <c r="K312" s="49"/>
      <c r="L312" s="50"/>
      <c r="M312" s="51"/>
      <c r="O312" s="162"/>
    </row>
    <row r="313" spans="1:19" ht="16.5" customHeight="1" x14ac:dyDescent="0.2">
      <c r="A313" s="38">
        <f>COUNTIF($J$1:J313,"!")</f>
        <v>20</v>
      </c>
      <c r="B313" s="163" t="str">
        <f>IFERROR(VLOOKUP(C313,元件库!$B:$O,3,FALSE),"")</f>
        <v>壳体W*D*H</v>
      </c>
      <c r="C313" s="164" t="s">
        <v>2888</v>
      </c>
      <c r="D313" s="165" t="str">
        <f>IFERROR(VLOOKUP(C313,元件库!$B:$O,2,FALSE),"")</f>
        <v>精益联合集团</v>
      </c>
      <c r="E313" s="166" t="str">
        <f t="shared" ref="E313:E323" si="116">IF(D313="欣利铜材","米",IF(B313="熔断器","套","只"))</f>
        <v>只</v>
      </c>
      <c r="F313" s="166">
        <v>1</v>
      </c>
      <c r="G313" s="42">
        <f t="shared" ref="G313:G323" si="117">IFERROR(J313*K313,"")</f>
        <v>1850</v>
      </c>
      <c r="H313" s="42">
        <f t="shared" ref="H313:H323" si="118">IFERROR(G313*F313,"")</f>
        <v>1850</v>
      </c>
      <c r="I313" s="167"/>
      <c r="J313" s="168">
        <f>P$1</f>
        <v>1</v>
      </c>
      <c r="K313" s="169">
        <f t="shared" ref="K313:K323" si="119">IFERROR(M313*L313,"")</f>
        <v>1850</v>
      </c>
      <c r="L313" s="170">
        <f>IFERROR(VLOOKUP(C313,元件库!$B:$O,10,FALSE),"1.00")</f>
        <v>1</v>
      </c>
      <c r="M313" s="171">
        <f>IFERROR(VLOOKUP(C313,元件库!$B:$O,11,FALSE),"")</f>
        <v>1850</v>
      </c>
      <c r="N313" s="172" t="str">
        <f t="shared" ref="N313:N323" ca="1" si="120">IF(AND(ISNUMBER(FIND("IF",_xlfn.FORMULATEXT(L313))),ISNUMBER(FIND("IF",_xlfn.FORMULATEXT(M313)))),"","值")</f>
        <v/>
      </c>
      <c r="O313" s="157" t="str">
        <f>B312</f>
        <v>低压馈线柜</v>
      </c>
    </row>
    <row r="314" spans="1:19" s="173" customFormat="1" ht="16.5" customHeight="1" x14ac:dyDescent="0.2">
      <c r="A314" s="38">
        <f>COUNTIF($J$1:J314,"!")</f>
        <v>20</v>
      </c>
      <c r="B314" s="163" t="str">
        <f>IFERROR(VLOOKUP(C314,元件库!$B:$O,3,FALSE),"")</f>
        <v>刀开关</v>
      </c>
      <c r="C314" s="164" t="s">
        <v>3051</v>
      </c>
      <c r="D314" s="165" t="str">
        <f>IFERROR(VLOOKUP(C314,元件库!$B:$O,2,FALSE),"")</f>
        <v>精益联合集团</v>
      </c>
      <c r="E314" s="166" t="str">
        <f t="shared" si="116"/>
        <v>只</v>
      </c>
      <c r="F314" s="166">
        <v>1</v>
      </c>
      <c r="G314" s="42">
        <f t="shared" si="117"/>
        <v>573.1</v>
      </c>
      <c r="H314" s="42">
        <f t="shared" si="118"/>
        <v>573.1</v>
      </c>
      <c r="I314" s="167"/>
      <c r="J314" s="168">
        <f t="shared" ref="J314:J323" si="121">P$1</f>
        <v>1</v>
      </c>
      <c r="K314" s="169">
        <f t="shared" si="119"/>
        <v>573.1</v>
      </c>
      <c r="L314" s="170">
        <f>IFERROR(VLOOKUP(C314,元件库!$B:$O,10,FALSE),"1.00")</f>
        <v>0.55000000000000004</v>
      </c>
      <c r="M314" s="171">
        <f>IFERROR(VLOOKUP(C314,元件库!$B:$O,11,FALSE),"")</f>
        <v>1042</v>
      </c>
      <c r="N314" s="172" t="str">
        <f t="shared" ca="1" si="120"/>
        <v/>
      </c>
      <c r="P314" s="161"/>
    </row>
    <row r="315" spans="1:19" s="173" customFormat="1" ht="16.5" customHeight="1" x14ac:dyDescent="0.2">
      <c r="A315" s="38">
        <f>COUNTIF($J$1:J315,"!")</f>
        <v>20</v>
      </c>
      <c r="B315" s="163" t="str">
        <f>IFERROR(VLOOKUP(C315,元件库!$B:$O,3,FALSE),"")</f>
        <v>塑壳断路器</v>
      </c>
      <c r="C315" s="164" t="s">
        <v>3131</v>
      </c>
      <c r="D315" s="165" t="str">
        <f>IFERROR(VLOOKUP(C315,元件库!$B:$O,2,FALSE),"")</f>
        <v>吉坤电气</v>
      </c>
      <c r="E315" s="166" t="str">
        <f t="shared" si="116"/>
        <v>只</v>
      </c>
      <c r="F315" s="166">
        <v>5</v>
      </c>
      <c r="G315" s="42">
        <f t="shared" si="117"/>
        <v>329</v>
      </c>
      <c r="H315" s="42">
        <f t="shared" si="118"/>
        <v>1645</v>
      </c>
      <c r="I315" s="167"/>
      <c r="J315" s="168">
        <f t="shared" si="121"/>
        <v>1</v>
      </c>
      <c r="K315" s="169">
        <f t="shared" si="119"/>
        <v>329</v>
      </c>
      <c r="L315" s="170">
        <f>IFERROR(VLOOKUP(C315,元件库!$B:$O,10,FALSE),"1.00")</f>
        <v>1</v>
      </c>
      <c r="M315" s="171">
        <f>IFERROR(VLOOKUP(C315,元件库!$B:$O,11,FALSE),"")</f>
        <v>329</v>
      </c>
      <c r="N315" s="172" t="str">
        <f t="shared" ca="1" si="120"/>
        <v/>
      </c>
      <c r="P315" s="161"/>
    </row>
    <row r="316" spans="1:19" s="173" customFormat="1" ht="16.5" customHeight="1" x14ac:dyDescent="0.2">
      <c r="A316" s="38">
        <f>COUNTIF($J$1:J316,"!")</f>
        <v>20</v>
      </c>
      <c r="B316" s="163" t="str">
        <f>IFERROR(VLOOKUP(C316,元件库!$B:$O,3,FALSE),"")</f>
        <v/>
      </c>
      <c r="C316" s="164" t="s">
        <v>3151</v>
      </c>
      <c r="D316" s="165" t="str">
        <f>IFERROR(VLOOKUP(C316,元件库!$B:$O,2,FALSE),"")</f>
        <v/>
      </c>
      <c r="E316" s="166" t="str">
        <f t="shared" si="116"/>
        <v>只</v>
      </c>
      <c r="F316" s="166">
        <v>3</v>
      </c>
      <c r="G316" s="42" t="str">
        <f t="shared" si="117"/>
        <v/>
      </c>
      <c r="H316" s="42" t="str">
        <f t="shared" si="118"/>
        <v/>
      </c>
      <c r="I316" s="167"/>
      <c r="J316" s="168">
        <f t="shared" si="121"/>
        <v>1</v>
      </c>
      <c r="K316" s="169" t="str">
        <f t="shared" si="119"/>
        <v/>
      </c>
      <c r="L316" s="170" t="str">
        <f>IFERROR(VLOOKUP(C316,元件库!$B:$O,10,FALSE),"1.00")</f>
        <v>1.00</v>
      </c>
      <c r="M316" s="171" t="str">
        <f>IFERROR(VLOOKUP(C316,元件库!$B:$O,11,FALSE),"")</f>
        <v/>
      </c>
      <c r="N316" s="172" t="str">
        <f t="shared" ca="1" si="120"/>
        <v/>
      </c>
      <c r="P316" s="161"/>
    </row>
    <row r="317" spans="1:19" s="173" customFormat="1" ht="16.5" customHeight="1" x14ac:dyDescent="0.2">
      <c r="A317" s="38">
        <f>COUNTIF($J$1:J317,"!")</f>
        <v>20</v>
      </c>
      <c r="B317" s="163" t="str">
        <f>IFERROR(VLOOKUP(C317,元件库!$B:$O,3,FALSE),"")</f>
        <v>电流.电压表</v>
      </c>
      <c r="C317" s="164" t="s">
        <v>1899</v>
      </c>
      <c r="D317" s="165" t="str">
        <f>IFERROR(VLOOKUP(C317,元件库!$B:$O,2,FALSE),"")</f>
        <v>精益联合集团</v>
      </c>
      <c r="E317" s="166" t="str">
        <f t="shared" si="116"/>
        <v>只</v>
      </c>
      <c r="F317" s="166">
        <v>3</v>
      </c>
      <c r="G317" s="42">
        <f t="shared" si="117"/>
        <v>13.750000000000002</v>
      </c>
      <c r="H317" s="42">
        <f t="shared" si="118"/>
        <v>41.250000000000007</v>
      </c>
      <c r="I317" s="167"/>
      <c r="J317" s="168">
        <f t="shared" si="121"/>
        <v>1</v>
      </c>
      <c r="K317" s="169">
        <f t="shared" si="119"/>
        <v>13.750000000000002</v>
      </c>
      <c r="L317" s="170">
        <f>IFERROR(VLOOKUP(C317,元件库!$B:$O,10,FALSE),"1.00")</f>
        <v>0.55000000000000004</v>
      </c>
      <c r="M317" s="171">
        <f>IFERROR(VLOOKUP(C317,元件库!$B:$O,11,FALSE),"")</f>
        <v>25</v>
      </c>
      <c r="N317" s="172" t="str">
        <f t="shared" ca="1" si="120"/>
        <v/>
      </c>
      <c r="P317" s="161"/>
    </row>
    <row r="318" spans="1:19" s="173" customFormat="1" ht="16.5" customHeight="1" x14ac:dyDescent="0.2">
      <c r="A318" s="38">
        <f>COUNTIF($J$1:J318,"!")</f>
        <v>20</v>
      </c>
      <c r="B318" s="163" t="str">
        <f>IFERROR(VLOOKUP(C318,元件库!$B:$O,3,FALSE),"")</f>
        <v>指示灯</v>
      </c>
      <c r="C318" s="164" t="s">
        <v>3044</v>
      </c>
      <c r="D318" s="165" t="str">
        <f>IFERROR(VLOOKUP(C318,元件库!$B:$O,2,FALSE),"")</f>
        <v>精益联合集团</v>
      </c>
      <c r="E318" s="166" t="str">
        <f t="shared" si="116"/>
        <v>只</v>
      </c>
      <c r="F318" s="166">
        <v>5</v>
      </c>
      <c r="G318" s="42">
        <f t="shared" si="117"/>
        <v>2.3100000000000005</v>
      </c>
      <c r="H318" s="42">
        <f t="shared" si="118"/>
        <v>11.550000000000002</v>
      </c>
      <c r="I318" s="167"/>
      <c r="J318" s="168">
        <f t="shared" si="121"/>
        <v>1</v>
      </c>
      <c r="K318" s="169">
        <f t="shared" si="119"/>
        <v>2.3100000000000005</v>
      </c>
      <c r="L318" s="170">
        <f>IFERROR(VLOOKUP(C318,元件库!$B:$O,10,FALSE),"1.00")</f>
        <v>0.55000000000000004</v>
      </c>
      <c r="M318" s="171">
        <f>IFERROR(VLOOKUP(C318,元件库!$B:$O,11,FALSE),"")</f>
        <v>4.2</v>
      </c>
      <c r="N318" s="172" t="str">
        <f t="shared" ca="1" si="120"/>
        <v/>
      </c>
      <c r="P318" s="161"/>
    </row>
    <row r="319" spans="1:19" s="173" customFormat="1" ht="16.5" customHeight="1" x14ac:dyDescent="0.2">
      <c r="A319" s="38">
        <f>COUNTIF($J$1:J319,"!")</f>
        <v>20</v>
      </c>
      <c r="B319" s="163" t="str">
        <f>IFERROR(VLOOKUP(C319,元件库!$B:$O,3,FALSE),"")</f>
        <v>铜排</v>
      </c>
      <c r="C319" s="164" t="s">
        <v>1889</v>
      </c>
      <c r="D319" s="165" t="str">
        <f>IFERROR(VLOOKUP(C319,元件库!$B:$O,2,FALSE),"")</f>
        <v>欣利铜材</v>
      </c>
      <c r="E319" s="166" t="str">
        <f t="shared" si="116"/>
        <v>米</v>
      </c>
      <c r="F319" s="166">
        <v>6</v>
      </c>
      <c r="G319" s="42">
        <f t="shared" si="117"/>
        <v>182.62799999999999</v>
      </c>
      <c r="H319" s="42">
        <f t="shared" si="118"/>
        <v>1095.768</v>
      </c>
      <c r="I319" s="167"/>
      <c r="J319" s="168">
        <f t="shared" si="121"/>
        <v>1</v>
      </c>
      <c r="K319" s="169">
        <f t="shared" si="119"/>
        <v>182.62799999999999</v>
      </c>
      <c r="L319" s="170">
        <f>IFERROR(VLOOKUP(C319,元件库!$B:$O,10,FALSE),"1.00")</f>
        <v>1</v>
      </c>
      <c r="M319" s="171">
        <f>IFERROR(VLOOKUP(C319,元件库!$B:$O,11,FALSE),"")</f>
        <v>182.62799999999999</v>
      </c>
      <c r="N319" s="172" t="str">
        <f t="shared" ca="1" si="120"/>
        <v/>
      </c>
      <c r="P319" s="161"/>
    </row>
    <row r="320" spans="1:19" s="173" customFormat="1" ht="16.5" customHeight="1" x14ac:dyDescent="0.2">
      <c r="A320" s="38">
        <f>COUNTIF($J$1:J320,"!")</f>
        <v>20</v>
      </c>
      <c r="B320" s="163" t="str">
        <f>IFERROR(VLOOKUP(C320,元件库!$B:$O,3,FALSE),"")</f>
        <v>铜排</v>
      </c>
      <c r="C320" s="164" t="s">
        <v>1887</v>
      </c>
      <c r="D320" s="165" t="str">
        <f>IFERROR(VLOOKUP(C320,元件库!$B:$O,2,FALSE),"")</f>
        <v>欣利铜材</v>
      </c>
      <c r="E320" s="166" t="str">
        <f t="shared" si="116"/>
        <v>米</v>
      </c>
      <c r="F320" s="166">
        <v>6</v>
      </c>
      <c r="G320" s="42">
        <f t="shared" si="117"/>
        <v>76.094999999999999</v>
      </c>
      <c r="H320" s="42">
        <f t="shared" si="118"/>
        <v>456.57</v>
      </c>
      <c r="I320" s="167"/>
      <c r="J320" s="168">
        <f t="shared" si="121"/>
        <v>1</v>
      </c>
      <c r="K320" s="169">
        <f t="shared" si="119"/>
        <v>76.094999999999999</v>
      </c>
      <c r="L320" s="170">
        <f>IFERROR(VLOOKUP(C320,元件库!$B:$O,10,FALSE),"1.00")</f>
        <v>1</v>
      </c>
      <c r="M320" s="171">
        <f>IFERROR(VLOOKUP(C320,元件库!$B:$O,11,FALSE),"")</f>
        <v>76.094999999999999</v>
      </c>
      <c r="N320" s="172" t="str">
        <f t="shared" ca="1" si="120"/>
        <v/>
      </c>
      <c r="P320" s="161"/>
    </row>
    <row r="321" spans="1:22" s="175" customFormat="1" ht="16.5" customHeight="1" x14ac:dyDescent="0.2">
      <c r="A321" s="38">
        <f>COUNTIF($J$1:J321,"!")</f>
        <v>20</v>
      </c>
      <c r="B321" s="163" t="s">
        <v>2171</v>
      </c>
      <c r="C321" s="164" t="s">
        <v>2225</v>
      </c>
      <c r="D321" s="165" t="str">
        <f>IFERROR(VLOOKUP(C321,元件库!$B:$O,2,FALSE),"")</f>
        <v>欣利铜材</v>
      </c>
      <c r="E321" s="166" t="str">
        <f t="shared" si="116"/>
        <v>米</v>
      </c>
      <c r="F321" s="166">
        <f>1*(MID(O321,FIND("-",O321)+1,FIND("*",O321)-FIND("-",O321)-1)/1000*IF(B321="水平排",3,1))</f>
        <v>3.5999999999999996</v>
      </c>
      <c r="G321" s="42">
        <f t="shared" si="117"/>
        <v>324.67199999999997</v>
      </c>
      <c r="H321" s="42">
        <f t="shared" si="118"/>
        <v>1168.8191999999997</v>
      </c>
      <c r="I321" s="167"/>
      <c r="J321" s="168">
        <f t="shared" si="121"/>
        <v>1</v>
      </c>
      <c r="K321" s="169">
        <f t="shared" si="119"/>
        <v>324.67199999999997</v>
      </c>
      <c r="L321" s="170">
        <f>IFERROR(VLOOKUP(C321,元件库!$B:$O,10,FALSE),"1.00")</f>
        <v>1</v>
      </c>
      <c r="M321" s="171">
        <f>IFERROR(VLOOKUP(C321,元件库!$B:$O,11,FALSE),"")</f>
        <v>324.67199999999997</v>
      </c>
      <c r="N321" s="172" t="str">
        <f t="shared" ca="1" si="120"/>
        <v/>
      </c>
      <c r="O321" s="174" t="str">
        <f>O325</f>
        <v>GGD-1200*600*2000</v>
      </c>
    </row>
    <row r="322" spans="1:22" s="175" customFormat="1" ht="16.5" customHeight="1" x14ac:dyDescent="0.2">
      <c r="A322" s="38">
        <f>COUNTIF($J$1:J322,"!")</f>
        <v>20</v>
      </c>
      <c r="B322" s="163" t="s">
        <v>2725</v>
      </c>
      <c r="C322" s="164" t="s">
        <v>1889</v>
      </c>
      <c r="D322" s="165" t="str">
        <f>IFERROR(VLOOKUP(C322,元件库!$B:$O,2,FALSE),"")</f>
        <v>欣利铜材</v>
      </c>
      <c r="E322" s="166" t="str">
        <f t="shared" si="116"/>
        <v>米</v>
      </c>
      <c r="F322" s="166">
        <f>1*(MID(O322,FIND("-",O322)+1,FIND("*",O322)-FIND("-",O322)-1)/1000*IF(B322="水平排",3,1))</f>
        <v>1.2</v>
      </c>
      <c r="G322" s="42">
        <f t="shared" si="117"/>
        <v>182.62799999999999</v>
      </c>
      <c r="H322" s="42">
        <f t="shared" si="118"/>
        <v>219.15359999999998</v>
      </c>
      <c r="I322" s="167"/>
      <c r="J322" s="168">
        <f t="shared" si="121"/>
        <v>1</v>
      </c>
      <c r="K322" s="169">
        <f t="shared" si="119"/>
        <v>182.62799999999999</v>
      </c>
      <c r="L322" s="170">
        <f>IFERROR(VLOOKUP(C322,元件库!$B:$O,10,FALSE),"1.00")</f>
        <v>1</v>
      </c>
      <c r="M322" s="171">
        <f>IFERROR(VLOOKUP(C322,元件库!$B:$O,11,FALSE),"")</f>
        <v>182.62799999999999</v>
      </c>
      <c r="N322" s="172" t="str">
        <f t="shared" ca="1" si="120"/>
        <v/>
      </c>
      <c r="O322" s="176" t="str">
        <f>O325</f>
        <v>GGD-1200*600*2000</v>
      </c>
    </row>
    <row r="323" spans="1:22" s="175" customFormat="1" ht="16.5" customHeight="1" x14ac:dyDescent="0.2">
      <c r="A323" s="38">
        <f>COUNTIF($J$1:J323,"!")</f>
        <v>20</v>
      </c>
      <c r="B323" s="163" t="s">
        <v>2172</v>
      </c>
      <c r="C323" s="164" t="s">
        <v>1889</v>
      </c>
      <c r="D323" s="165" t="str">
        <f>IFERROR(VLOOKUP(C323,元件库!$B:$O,2,FALSE),"")</f>
        <v>欣利铜材</v>
      </c>
      <c r="E323" s="166" t="str">
        <f t="shared" si="116"/>
        <v>米</v>
      </c>
      <c r="F323" s="166">
        <f>1*(MID(O323,FIND("-",O323)+1,FIND("*",O323)-FIND("-",O323)-1)/1000*IF(B323="水平排",3,1))</f>
        <v>1.2</v>
      </c>
      <c r="G323" s="42">
        <f t="shared" si="117"/>
        <v>182.62799999999999</v>
      </c>
      <c r="H323" s="42">
        <f t="shared" si="118"/>
        <v>219.15359999999998</v>
      </c>
      <c r="I323" s="167"/>
      <c r="J323" s="168">
        <f t="shared" si="121"/>
        <v>1</v>
      </c>
      <c r="K323" s="169">
        <f t="shared" si="119"/>
        <v>182.62799999999999</v>
      </c>
      <c r="L323" s="170">
        <f>IFERROR(VLOOKUP(C323,元件库!$B:$O,10,FALSE),"1.00")</f>
        <v>1</v>
      </c>
      <c r="M323" s="171">
        <f>IFERROR(VLOOKUP(C323,元件库!$B:$O,11,FALSE),"")</f>
        <v>182.62799999999999</v>
      </c>
      <c r="N323" s="172" t="str">
        <f t="shared" ca="1" si="120"/>
        <v/>
      </c>
      <c r="O323" s="176" t="str">
        <f>O325</f>
        <v>GGD-1200*600*2000</v>
      </c>
    </row>
    <row r="324" spans="1:22" ht="16.5" customHeight="1" x14ac:dyDescent="0.2">
      <c r="A324" s="38">
        <f>COUNTIF($J$1:J324,"!")</f>
        <v>20</v>
      </c>
      <c r="B324" s="177" t="s">
        <v>107</v>
      </c>
      <c r="C324" s="164"/>
      <c r="D324" s="166"/>
      <c r="E324" s="166"/>
      <c r="F324" s="166"/>
      <c r="G324" s="42"/>
      <c r="H324" s="42"/>
      <c r="I324" s="178">
        <f>SUM(H313:H324)</f>
        <v>7280.3643999999995</v>
      </c>
      <c r="J324" s="168"/>
      <c r="K324" s="169"/>
      <c r="L324" s="170"/>
      <c r="M324" s="171"/>
      <c r="O324" s="174"/>
      <c r="P324" s="162"/>
    </row>
    <row r="325" spans="1:22" ht="16.5" customHeight="1" x14ac:dyDescent="0.2">
      <c r="A325" s="38">
        <f>COUNTIF($J$1:J325,"!")</f>
        <v>20</v>
      </c>
      <c r="B325" s="179" t="s">
        <v>47</v>
      </c>
      <c r="C325" s="164"/>
      <c r="D325" s="166"/>
      <c r="E325" s="166"/>
      <c r="F325" s="166"/>
      <c r="G325" s="42"/>
      <c r="H325" s="42">
        <f>IFERROR(J325*K325,"")</f>
        <v>800</v>
      </c>
      <c r="I325" s="167"/>
      <c r="J325" s="168">
        <f>P$1</f>
        <v>1</v>
      </c>
      <c r="K325" s="169">
        <f>L325*M325</f>
        <v>800</v>
      </c>
      <c r="L325" s="170">
        <f>F313</f>
        <v>1</v>
      </c>
      <c r="M325" s="171">
        <f>IF(B325="成套费",IF(ISNUMBER(FIND("GGD",O325)),800,IF(OR(ISNUMBER(FIND("GCS",O325)),ISNUMBER(FIND("GCK",O325)),ISNUMBER(FIND("MNS",O325))),1000,"")),IF(B325="辅件费",IF(VLOOKUP(A326,A$1:B325,2,FALSE)="低压电容柜",500,300),""))</f>
        <v>800</v>
      </c>
      <c r="O325" s="180" t="str">
        <f>C313</f>
        <v>GGD-1200*600*2000</v>
      </c>
    </row>
    <row r="326" spans="1:22" s="161" customFormat="1" ht="16.5" customHeight="1" x14ac:dyDescent="0.2">
      <c r="A326" s="38">
        <f>COUNTIF($J$1:J326,"!")</f>
        <v>20</v>
      </c>
      <c r="B326" s="179" t="s">
        <v>49</v>
      </c>
      <c r="C326" s="164"/>
      <c r="D326" s="166"/>
      <c r="E326" s="166"/>
      <c r="F326" s="166"/>
      <c r="G326" s="42"/>
      <c r="H326" s="42">
        <f>IFERROR(J326*K326,"")</f>
        <v>300</v>
      </c>
      <c r="I326" s="167"/>
      <c r="J326" s="168">
        <f>P$1</f>
        <v>1</v>
      </c>
      <c r="K326" s="169">
        <f>L326*M326</f>
        <v>300</v>
      </c>
      <c r="L326" s="170">
        <f>F313</f>
        <v>1</v>
      </c>
      <c r="M326" s="171">
        <f>IF(B326="成套费",IF(ISNUMBER(FIND("GGD",O326)),800,IF(OR(ISNUMBER(FIND("GCS",O326)),ISNUMBER(FIND("GCK",O326)),ISNUMBER(FIND("MNS",O326))),1000,"")),IF(B326="辅件费",IF(VLOOKUP(A326,A$1:B326,2,FALSE)="低压电容柜",500,300),""))</f>
        <v>300</v>
      </c>
      <c r="N326" s="181"/>
      <c r="O326" s="182" t="str">
        <f>O325</f>
        <v>GGD-1200*600*2000</v>
      </c>
      <c r="R326" s="162"/>
      <c r="S326" s="162"/>
    </row>
    <row r="327" spans="1:22" s="161" customFormat="1" ht="16.5" customHeight="1" x14ac:dyDescent="0.2">
      <c r="A327" s="38">
        <f>COUNTIF($J$1:J327,"!")</f>
        <v>20</v>
      </c>
      <c r="B327" s="179" t="s">
        <v>79</v>
      </c>
      <c r="C327" s="164"/>
      <c r="D327" s="166"/>
      <c r="E327" s="166"/>
      <c r="F327" s="166"/>
      <c r="G327" s="42"/>
      <c r="H327" s="42">
        <f>K327*L327</f>
        <v>1005.6437279999998</v>
      </c>
      <c r="I327" s="167"/>
      <c r="J327" s="168"/>
      <c r="K327" s="169">
        <f>SUM(H324:H326)+I324</f>
        <v>8380.3643999999986</v>
      </c>
      <c r="L327" s="279">
        <f>R$1</f>
        <v>0.12</v>
      </c>
      <c r="M327" s="171"/>
      <c r="N327" s="181"/>
      <c r="O327" s="162"/>
      <c r="R327" s="162"/>
      <c r="S327" s="162"/>
    </row>
    <row r="328" spans="1:22" ht="16.5" customHeight="1" x14ac:dyDescent="0.2">
      <c r="A328" s="38">
        <f>COUNTIF($J$1:J328,"!")</f>
        <v>20</v>
      </c>
      <c r="B328" s="179" t="s">
        <v>108</v>
      </c>
      <c r="C328" s="164"/>
      <c r="D328" s="166"/>
      <c r="E328" s="166"/>
      <c r="F328" s="166"/>
      <c r="G328" s="184"/>
      <c r="H328" s="42">
        <f>K328*L328</f>
        <v>281.58024383999992</v>
      </c>
      <c r="I328" s="167"/>
      <c r="J328" s="168"/>
      <c r="K328" s="169">
        <f>H327+K327</f>
        <v>9386.0081279999977</v>
      </c>
      <c r="L328" s="279">
        <f>T$1</f>
        <v>0.03</v>
      </c>
      <c r="M328" s="171"/>
      <c r="O328" s="162"/>
    </row>
    <row r="329" spans="1:22" ht="16.5" customHeight="1" x14ac:dyDescent="0.15">
      <c r="A329" s="32">
        <f>COUNTIF($J$1:J329,"!")</f>
        <v>21</v>
      </c>
      <c r="B329" s="33" t="s">
        <v>159</v>
      </c>
      <c r="C329" s="277" t="str">
        <f>LOOKUP(0,0/((RIGHT(B271:B329,3)="变压器")*(D271:D329=D329)),N271:N329)&amp;"10/0.4"</f>
        <v>630KVA 10/0.4</v>
      </c>
      <c r="D329" s="159" t="s">
        <v>2336</v>
      </c>
      <c r="E329" s="34" t="s">
        <v>23</v>
      </c>
      <c r="F329" s="159">
        <v>1</v>
      </c>
      <c r="G329" s="36">
        <f>ROUND(SUM(H330:H338),0)</f>
        <v>26384</v>
      </c>
      <c r="H329" s="160" t="str">
        <f>IF(ISNUMBER(FIND(" ",C330)),MID(C330,1,FIND(" ",C330)-1),IF(ISNUMBER(FIND("电容柜",B329)),"GGJ",MID(C330,1,FIND("-",C330)-1)))</f>
        <v>YBP</v>
      </c>
      <c r="I329" s="47" t="str">
        <f>MID(C330,IF(LEN(C330)-LEN(H329)&gt;3,LEN(H329)+2,1),30)</f>
        <v>4400*2300*2650</v>
      </c>
      <c r="J329" s="48" t="s">
        <v>24</v>
      </c>
      <c r="K329" s="49"/>
      <c r="L329" s="50"/>
      <c r="M329" s="51"/>
      <c r="O329" s="297"/>
      <c r="P329" s="161">
        <v>1650</v>
      </c>
      <c r="Q329" s="162">
        <v>2900</v>
      </c>
      <c r="R329" s="157">
        <v>1900</v>
      </c>
      <c r="S329" s="162">
        <v>1850</v>
      </c>
      <c r="T329" s="157">
        <v>3000</v>
      </c>
      <c r="U329" s="157">
        <v>2400</v>
      </c>
      <c r="V329" s="157">
        <v>3600</v>
      </c>
    </row>
    <row r="330" spans="1:22" ht="16.5" customHeight="1" x14ac:dyDescent="0.2">
      <c r="A330" s="38">
        <f>COUNTIF($J$1:J330,"!")</f>
        <v>21</v>
      </c>
      <c r="B330" s="163" t="s">
        <v>25</v>
      </c>
      <c r="C330" s="164" t="s">
        <v>3152</v>
      </c>
      <c r="D330" s="165" t="s">
        <v>3242</v>
      </c>
      <c r="E330" s="166" t="s">
        <v>29</v>
      </c>
      <c r="F330" s="166">
        <v>1</v>
      </c>
      <c r="G330" s="42">
        <f>IFERROR(J330*K330,"")</f>
        <v>15863.099999999999</v>
      </c>
      <c r="H330" s="42">
        <f>IFERROR(G330*F330,"")</f>
        <v>15863.099999999999</v>
      </c>
      <c r="I330" s="167"/>
      <c r="J330" s="168">
        <f>P$1</f>
        <v>1</v>
      </c>
      <c r="K330" s="169">
        <f>IFERROR(M330*L330,"")</f>
        <v>15863.099999999999</v>
      </c>
      <c r="L330" s="170">
        <v>0.95</v>
      </c>
      <c r="M330" s="171">
        <f>IFERROR(Q330*R330,"")</f>
        <v>16698</v>
      </c>
      <c r="N330" s="172" t="str">
        <f ca="1">IF(AND(ISNUMBER(FIND("IF",_xlfn.FORMULATEXT(L330))),ISNUMBER(FIND("IF",_xlfn.FORMULATEXT(M330)))),"","值")</f>
        <v>值</v>
      </c>
      <c r="O330" s="174" t="str">
        <f>O334</f>
        <v>YBP-4400*2300*2650</v>
      </c>
      <c r="P330" s="157" t="s">
        <v>2209</v>
      </c>
      <c r="Q330" s="300">
        <f>IF(P330=304,V329,IF(P330=201,T329,IF(P330="彩钢板",P329,IF(P330="敷铝锌贴木条",Q329,IF(P330="金属雕花",U329,IF(P330="GRC",R329,IF(P330="水泥变",S329,)))))))</f>
        <v>1650</v>
      </c>
      <c r="R330" s="161">
        <f>(MID(C330,FIND("-",C330)+1,FIND("*",C330)-FIND("-",C330)-1)*MID(C330,FIND("*",C330)+1,FIND("*",MID(C330,FIND("*",C330)+1,30))-1))/1000000*IF(ROUND(RIGHT(C330,4),0)&gt;2650,1/2.65*2.95,1)</f>
        <v>10.119999999999999</v>
      </c>
    </row>
    <row r="331" spans="1:22" s="175" customFormat="1" ht="16.5" customHeight="1" x14ac:dyDescent="0.2">
      <c r="A331" s="38">
        <f>COUNTIF($J$1:J331,"!")</f>
        <v>21</v>
      </c>
      <c r="B331" s="163" t="str">
        <f>IFERROR(VLOOKUP(C331,元件库!$B:$O,3,FALSE),"")</f>
        <v>铜排</v>
      </c>
      <c r="C331" s="164" t="s">
        <v>1889</v>
      </c>
      <c r="D331" s="165" t="str">
        <f>IFERROR(VLOOKUP(C331,元件库!$B:$O,2,FALSE),"")</f>
        <v>欣利铜材</v>
      </c>
      <c r="E331" s="166" t="str">
        <f>IF(D331="欣利铜材","米",IF(B331="氧化锌避雷器","组","只"))</f>
        <v>米</v>
      </c>
      <c r="F331" s="166">
        <v>8</v>
      </c>
      <c r="G331" s="42">
        <f>IFERROR(J331*K331,"")</f>
        <v>182.62799999999999</v>
      </c>
      <c r="H331" s="42">
        <f>IFERROR(G331*F331,"")</f>
        <v>1461.0239999999999</v>
      </c>
      <c r="I331" s="167"/>
      <c r="J331" s="168">
        <f>P$1</f>
        <v>1</v>
      </c>
      <c r="K331" s="169">
        <f>IFERROR(M331*L331,"")</f>
        <v>182.62799999999999</v>
      </c>
      <c r="L331" s="170">
        <f>IFERROR(VLOOKUP(C331,元件库!$B:$O,10,FALSE),"1.00")</f>
        <v>1</v>
      </c>
      <c r="M331" s="171">
        <f>IFERROR(VLOOKUP(C331,元件库!$B:$O,11,FALSE),"")</f>
        <v>182.62799999999999</v>
      </c>
      <c r="N331" s="172" t="str">
        <f ca="1">IF(AND(ISNUMBER(FIND("IF",_xlfn.FORMULATEXT(L331))),ISNUMBER(FIND("IF",_xlfn.FORMULATEXT(M331)))),"","值")</f>
        <v/>
      </c>
      <c r="O331" s="174" t="str">
        <f>O334</f>
        <v>YBP-4400*2300*2650</v>
      </c>
    </row>
    <row r="332" spans="1:22" s="173" customFormat="1" ht="16.5" customHeight="1" x14ac:dyDescent="0.2">
      <c r="A332" s="38">
        <f>COUNTIF($J$1:J332,"!")</f>
        <v>21</v>
      </c>
      <c r="B332" s="163" t="str">
        <f>IFERROR(VLOOKUP(C332,元件库!$B:$O,3,FALSE),"")</f>
        <v>铜排</v>
      </c>
      <c r="C332" s="164" t="s">
        <v>2225</v>
      </c>
      <c r="D332" s="165" t="str">
        <f>IFERROR(VLOOKUP(C332,元件库!$B:$O,2,FALSE),"")</f>
        <v>欣利铜材</v>
      </c>
      <c r="E332" s="166" t="s">
        <v>39</v>
      </c>
      <c r="F332" s="166">
        <v>10</v>
      </c>
      <c r="G332" s="42">
        <f>IFERROR(J332*K332,"")</f>
        <v>324.67199999999997</v>
      </c>
      <c r="H332" s="42">
        <f>IFERROR(G332*F332,"")</f>
        <v>3246.72</v>
      </c>
      <c r="I332" s="167"/>
      <c r="J332" s="168">
        <f>P$1</f>
        <v>1</v>
      </c>
      <c r="K332" s="169">
        <f>IFERROR(M332*L332,"")</f>
        <v>324.67199999999997</v>
      </c>
      <c r="L332" s="170">
        <f>IFERROR(VLOOKUP(C332,元件库!$B:$O,10,FALSE),"1.00")</f>
        <v>1</v>
      </c>
      <c r="M332" s="171">
        <f>IFERROR(VLOOKUP(C332,元件库!$B:$O,11,FALSE),"")</f>
        <v>324.67199999999997</v>
      </c>
      <c r="N332" s="172" t="str">
        <f ca="1">IF(AND(ISNUMBER(FIND("IF",_xlfn.FORMULATEXT(L332))),ISNUMBER(FIND("IF",_xlfn.FORMULATEXT(M332)))),"","值")</f>
        <v/>
      </c>
      <c r="O332" s="174" t="str">
        <f>O334</f>
        <v>YBP-4400*2300*2650</v>
      </c>
      <c r="P332" s="161"/>
    </row>
    <row r="333" spans="1:22" ht="16.5" customHeight="1" x14ac:dyDescent="0.2">
      <c r="A333" s="38">
        <f>COUNTIF($J$1:J333,"!")</f>
        <v>21</v>
      </c>
      <c r="B333" s="177" t="s">
        <v>107</v>
      </c>
      <c r="C333" s="164"/>
      <c r="D333" s="166"/>
      <c r="E333" s="166"/>
      <c r="F333" s="166"/>
      <c r="G333" s="42"/>
      <c r="H333" s="42"/>
      <c r="I333" s="178">
        <f>SUM(H330:H333)</f>
        <v>20570.844000000001</v>
      </c>
      <c r="J333" s="168"/>
      <c r="K333" s="169"/>
      <c r="L333" s="170"/>
      <c r="M333" s="171"/>
      <c r="O333" s="174"/>
      <c r="P333" s="162"/>
      <c r="Q333" s="157"/>
    </row>
    <row r="334" spans="1:22" ht="16.5" customHeight="1" x14ac:dyDescent="0.2">
      <c r="A334" s="38">
        <f>COUNTIF($J$1:J334,"!")</f>
        <v>21</v>
      </c>
      <c r="B334" s="179" t="s">
        <v>47</v>
      </c>
      <c r="C334" s="164"/>
      <c r="D334" s="166"/>
      <c r="E334" s="166"/>
      <c r="F334" s="166"/>
      <c r="G334" s="42"/>
      <c r="H334" s="42">
        <f>IFERROR(J334*K334*L334,"")</f>
        <v>1500</v>
      </c>
      <c r="I334" s="167"/>
      <c r="J334" s="168">
        <f>P$1</f>
        <v>1</v>
      </c>
      <c r="K334" s="169">
        <f>IFERROR(M334*L334,"")</f>
        <v>1500</v>
      </c>
      <c r="L334" s="170" t="str">
        <f>IFERROR(VLOOKUP(C334,元件库!$B:$O,10,FALSE),"1.00")</f>
        <v>1.00</v>
      </c>
      <c r="M334" s="171">
        <v>1500</v>
      </c>
      <c r="O334" s="174" t="str">
        <f>LOOKUP(0,0/((A329:A333=A334)*(B329:B333="壳体W*D*H")),C329:C333)</f>
        <v>YBP-4400*2300*2650</v>
      </c>
    </row>
    <row r="335" spans="1:22" s="161" customFormat="1" ht="16.5" customHeight="1" x14ac:dyDescent="0.2">
      <c r="A335" s="38">
        <f>COUNTIF($J$1:J335,"!")</f>
        <v>21</v>
      </c>
      <c r="B335" s="179" t="s">
        <v>49</v>
      </c>
      <c r="C335" s="164"/>
      <c r="D335" s="166"/>
      <c r="E335" s="166"/>
      <c r="F335" s="166"/>
      <c r="G335" s="42"/>
      <c r="H335" s="42">
        <f>IFERROR(J335*K335*L335,"")</f>
        <v>500</v>
      </c>
      <c r="I335" s="167"/>
      <c r="J335" s="168">
        <f>P$1</f>
        <v>1</v>
      </c>
      <c r="K335" s="169">
        <f>IFERROR(M335*L335,"")</f>
        <v>500</v>
      </c>
      <c r="L335" s="170" t="str">
        <f>IFERROR(VLOOKUP(C335,元件库!$B:$O,10,FALSE),"1.00")</f>
        <v>1.00</v>
      </c>
      <c r="M335" s="171">
        <v>500</v>
      </c>
      <c r="N335" s="181"/>
      <c r="O335" s="174" t="str">
        <f>O334</f>
        <v>YBP-4400*2300*2650</v>
      </c>
      <c r="Q335" s="162"/>
      <c r="R335" s="162"/>
      <c r="S335" s="162"/>
    </row>
    <row r="336" spans="1:22" s="161" customFormat="1" ht="16.5" customHeight="1" x14ac:dyDescent="0.2">
      <c r="A336" s="38">
        <f>COUNTIF($J$1:J336,"!")</f>
        <v>21</v>
      </c>
      <c r="B336" s="179" t="s">
        <v>50</v>
      </c>
      <c r="C336" s="164"/>
      <c r="D336" s="166"/>
      <c r="E336" s="166"/>
      <c r="F336" s="166"/>
      <c r="G336" s="42"/>
      <c r="H336" s="42">
        <f>IFERROR(J336*K336*L336,"")</f>
        <v>300</v>
      </c>
      <c r="I336" s="167"/>
      <c r="J336" s="168">
        <f>P$1</f>
        <v>1</v>
      </c>
      <c r="K336" s="169">
        <f>IFERROR(M336*L336,"")</f>
        <v>300</v>
      </c>
      <c r="L336" s="170" t="str">
        <f>IFERROR(VLOOKUP(C336,元件库!$B:$O,10,FALSE),"1.00")</f>
        <v>1.00</v>
      </c>
      <c r="M336" s="171">
        <v>300</v>
      </c>
      <c r="N336" s="181"/>
      <c r="O336" s="174"/>
      <c r="Q336" s="162"/>
      <c r="R336" s="162"/>
      <c r="S336" s="162"/>
    </row>
    <row r="337" spans="1:23" s="161" customFormat="1" ht="16.5" customHeight="1" x14ac:dyDescent="0.2">
      <c r="A337" s="38">
        <f>COUNTIF($J$1:J337,"!")</f>
        <v>21</v>
      </c>
      <c r="B337" s="179" t="s">
        <v>79</v>
      </c>
      <c r="C337" s="164"/>
      <c r="D337" s="166"/>
      <c r="E337" s="166"/>
      <c r="F337" s="166"/>
      <c r="G337" s="42"/>
      <c r="H337" s="42">
        <f>K337*L337</f>
        <v>2744.50128</v>
      </c>
      <c r="I337" s="167"/>
      <c r="J337" s="168"/>
      <c r="K337" s="169">
        <f>SUM(H334:H336)+I333</f>
        <v>22870.844000000001</v>
      </c>
      <c r="L337" s="279">
        <f>R$1</f>
        <v>0.12</v>
      </c>
      <c r="M337" s="171"/>
      <c r="N337" s="181"/>
      <c r="O337" s="174"/>
      <c r="Q337" s="162"/>
      <c r="R337" s="162"/>
      <c r="S337" s="162"/>
    </row>
    <row r="338" spans="1:23" ht="16.5" customHeight="1" x14ac:dyDescent="0.2">
      <c r="A338" s="38">
        <f>COUNTIF($J$1:J338,"!")</f>
        <v>21</v>
      </c>
      <c r="B338" s="179" t="s">
        <v>108</v>
      </c>
      <c r="C338" s="164"/>
      <c r="D338" s="166"/>
      <c r="E338" s="166"/>
      <c r="F338" s="166"/>
      <c r="G338" s="184"/>
      <c r="H338" s="42">
        <f>K338*L338</f>
        <v>768.46035840000002</v>
      </c>
      <c r="I338" s="167"/>
      <c r="J338" s="168"/>
      <c r="K338" s="169">
        <f>H337+K337</f>
        <v>25615.345280000001</v>
      </c>
      <c r="L338" s="279">
        <f>T$1</f>
        <v>0.03</v>
      </c>
      <c r="M338" s="171"/>
    </row>
    <row r="339" spans="1:23" s="162" customFormat="1" ht="16.5" customHeight="1" x14ac:dyDescent="0.15">
      <c r="A339" s="32">
        <f>COUNTIF($J$1:J339,"!")</f>
        <v>22</v>
      </c>
      <c r="B339" s="33" t="s">
        <v>1895</v>
      </c>
      <c r="C339" s="296" t="s">
        <v>3153</v>
      </c>
      <c r="D339" s="159" t="s">
        <v>3154</v>
      </c>
      <c r="E339" s="34" t="s">
        <v>23</v>
      </c>
      <c r="F339" s="159">
        <v>1</v>
      </c>
      <c r="G339" s="36">
        <f>ROUND(SUM(H340:H361),0)</f>
        <v>7552</v>
      </c>
      <c r="H339" s="160" t="str">
        <f>IF(ISNUMBER(FIND(" ",C340)),MID(C340,1,FIND(" ",C340)-1),IF(ISNUMBER(FIND("电容柜",B339)),"GGJ",MID(C340,1,FIND("-",C340)-1)))</f>
        <v>HXGN</v>
      </c>
      <c r="I339" s="47" t="str">
        <f>MID(C340,IF(LEN(C340)-LEN(H339)&gt;3,LEN(H339)+2,1),30)</f>
        <v>500*900*2000</v>
      </c>
      <c r="J339" s="48" t="s">
        <v>24</v>
      </c>
      <c r="K339" s="49"/>
      <c r="L339" s="50"/>
      <c r="M339" s="51"/>
      <c r="N339" s="172"/>
      <c r="O339" s="161"/>
    </row>
    <row r="340" spans="1:23" s="162" customFormat="1" ht="16.5" customHeight="1" x14ac:dyDescent="0.2">
      <c r="A340" s="38">
        <f>COUNTIF($J$1:J340,"!")</f>
        <v>22</v>
      </c>
      <c r="B340" s="163" t="str">
        <f>IFERROR(VLOOKUP(C340,元件库!$B:$O,3,FALSE),"")</f>
        <v>壳体W*D*H</v>
      </c>
      <c r="C340" s="164" t="s">
        <v>3120</v>
      </c>
      <c r="D340" s="165" t="str">
        <f>IFERROR(VLOOKUP(C340,元件库!$B:$O,2,FALSE),"")</f>
        <v>精益联合集团</v>
      </c>
      <c r="E340" s="166" t="str">
        <f t="shared" ref="E340:E347" si="122">IF(D340="欣利铜材","米",IF(B340="氧化锌避雷器","组","只"))</f>
        <v>只</v>
      </c>
      <c r="F340" s="166">
        <v>1</v>
      </c>
      <c r="G340" s="42">
        <f t="shared" ref="G340:G347" si="123">IFERROR(J340*K340,"")</f>
        <v>1500</v>
      </c>
      <c r="H340" s="42">
        <f t="shared" ref="H340:H347" si="124">IFERROR(G340*F340,"")</f>
        <v>1500</v>
      </c>
      <c r="I340" s="167"/>
      <c r="J340" s="168">
        <f t="shared" ref="J340:J347" si="125">P$1</f>
        <v>1</v>
      </c>
      <c r="K340" s="169">
        <f t="shared" ref="K340:K347" si="126">IFERROR(M340*L340,"")</f>
        <v>1500</v>
      </c>
      <c r="L340" s="170">
        <f>IFERROR(VLOOKUP(C340,元件库!$B:$O,10,FALSE),"1.00")</f>
        <v>1</v>
      </c>
      <c r="M340" s="171">
        <f>IFERROR(VLOOKUP(C340,元件库!$B:$O,11,FALSE),"")</f>
        <v>1500</v>
      </c>
      <c r="N340" s="172" t="str">
        <f t="shared" ref="N340:N356" ca="1" si="127">IF(AND(ISNUMBER(FIND("IF",_xlfn.FORMULATEXT(L340))),ISNUMBER(FIND("IF",_xlfn.FORMULATEXT(M340)))),"","值")</f>
        <v/>
      </c>
      <c r="O340" s="157"/>
      <c r="P340" s="157"/>
    </row>
    <row r="341" spans="1:23" s="175" customFormat="1" ht="16.5" customHeight="1" x14ac:dyDescent="0.2">
      <c r="A341" s="38">
        <f>COUNTIF($J$1:J341,"!")</f>
        <v>22</v>
      </c>
      <c r="B341" s="163" t="str">
        <f>IFERROR(VLOOKUP(C341,元件库!$B:$O,3,FALSE),"")</f>
        <v>高压熔断器</v>
      </c>
      <c r="C341" s="164" t="s">
        <v>3041</v>
      </c>
      <c r="D341" s="165" t="str">
        <f>IFERROR(VLOOKUP(C341,元件库!$B:$O,2,FALSE),"")</f>
        <v>上海智广</v>
      </c>
      <c r="E341" s="166" t="str">
        <f t="shared" si="122"/>
        <v>只</v>
      </c>
      <c r="F341" s="166">
        <v>3</v>
      </c>
      <c r="G341" s="42">
        <f t="shared" si="123"/>
        <v>60</v>
      </c>
      <c r="H341" s="42">
        <f t="shared" si="124"/>
        <v>180</v>
      </c>
      <c r="I341" s="167"/>
      <c r="J341" s="168">
        <f t="shared" si="125"/>
        <v>1</v>
      </c>
      <c r="K341" s="169">
        <f t="shared" si="126"/>
        <v>60</v>
      </c>
      <c r="L341" s="170">
        <f>IFERROR(VLOOKUP(C341,元件库!$B:$O,10,FALSE),"1.00")</f>
        <v>1</v>
      </c>
      <c r="M341" s="171">
        <f>IFERROR(VLOOKUP(C341,元件库!$B:$O,11,FALSE),"")</f>
        <v>60</v>
      </c>
      <c r="N341" s="172" t="str">
        <f t="shared" ca="1" si="127"/>
        <v/>
      </c>
      <c r="O341" s="157"/>
      <c r="W341" s="162"/>
    </row>
    <row r="342" spans="1:23" s="175" customFormat="1" ht="16.5" customHeight="1" x14ac:dyDescent="0.2">
      <c r="A342" s="38">
        <f>COUNTIF($J$1:J342,"!")</f>
        <v>22</v>
      </c>
      <c r="B342" s="163" t="str">
        <f>IFERROR(VLOOKUP(C342,元件库!$B:$O,3,FALSE),"")</f>
        <v>电压互感器</v>
      </c>
      <c r="C342" s="164" t="s">
        <v>2135</v>
      </c>
      <c r="D342" s="165" t="str">
        <f>IFERROR(VLOOKUP(C342,元件库!$B:$O,2,FALSE),"")</f>
        <v>浙江泰成</v>
      </c>
      <c r="E342" s="166" t="str">
        <f t="shared" si="122"/>
        <v>只</v>
      </c>
      <c r="F342" s="166">
        <v>2</v>
      </c>
      <c r="G342" s="42">
        <f t="shared" si="123"/>
        <v>963</v>
      </c>
      <c r="H342" s="42">
        <f t="shared" si="124"/>
        <v>1926</v>
      </c>
      <c r="I342" s="167"/>
      <c r="J342" s="168">
        <f t="shared" si="125"/>
        <v>1</v>
      </c>
      <c r="K342" s="169">
        <f t="shared" si="126"/>
        <v>963</v>
      </c>
      <c r="L342" s="170">
        <f>IFERROR(VLOOKUP(C342,元件库!$B:$O,10,FALSE),"1.00")</f>
        <v>1</v>
      </c>
      <c r="M342" s="171">
        <f>IFERROR(VLOOKUP(C342,元件库!$B:$O,11,FALSE),"")</f>
        <v>963</v>
      </c>
      <c r="N342" s="172" t="str">
        <f t="shared" ca="1" si="127"/>
        <v/>
      </c>
      <c r="O342" s="157"/>
      <c r="W342" s="162"/>
    </row>
    <row r="343" spans="1:23" s="175" customFormat="1" ht="16.5" customHeight="1" x14ac:dyDescent="0.2">
      <c r="A343" s="38">
        <f>COUNTIF($J$1:J343,"!")</f>
        <v>22</v>
      </c>
      <c r="B343" s="163" t="str">
        <f>IFERROR(VLOOKUP(C343,元件库!$B:$O,3,FALSE),"")</f>
        <v>电流.电压表</v>
      </c>
      <c r="C343" s="164" t="s">
        <v>1899</v>
      </c>
      <c r="D343" s="165" t="str">
        <f>IFERROR(VLOOKUP(C343,元件库!$B:$O,2,FALSE),"")</f>
        <v>精益联合集团</v>
      </c>
      <c r="E343" s="166" t="str">
        <f t="shared" si="122"/>
        <v>只</v>
      </c>
      <c r="F343" s="166">
        <v>3</v>
      </c>
      <c r="G343" s="42">
        <f t="shared" si="123"/>
        <v>13.750000000000002</v>
      </c>
      <c r="H343" s="42">
        <f t="shared" si="124"/>
        <v>41.250000000000007</v>
      </c>
      <c r="I343" s="167"/>
      <c r="J343" s="168">
        <f t="shared" si="125"/>
        <v>1</v>
      </c>
      <c r="K343" s="169">
        <f t="shared" si="126"/>
        <v>13.750000000000002</v>
      </c>
      <c r="L343" s="170">
        <f>IFERROR(VLOOKUP(C343,元件库!$B:$O,10,FALSE),"1.00")</f>
        <v>0.55000000000000004</v>
      </c>
      <c r="M343" s="171">
        <f>IFERROR(VLOOKUP(C343,元件库!$B:$O,11,FALSE),"")</f>
        <v>25</v>
      </c>
      <c r="N343" s="172" t="str">
        <f t="shared" ca="1" si="127"/>
        <v/>
      </c>
      <c r="O343" s="157"/>
      <c r="W343" s="162"/>
    </row>
    <row r="344" spans="1:23" s="175" customFormat="1" ht="16.5" customHeight="1" x14ac:dyDescent="0.2">
      <c r="A344" s="38">
        <f>COUNTIF($J$1:J344,"!")</f>
        <v>22</v>
      </c>
      <c r="B344" s="163" t="str">
        <f>IFERROR(VLOOKUP(C344,元件库!$B:$O,3,FALSE),"")</f>
        <v>氧化锌避雷器</v>
      </c>
      <c r="C344" s="164" t="s">
        <v>1917</v>
      </c>
      <c r="D344" s="165" t="str">
        <f>IFERROR(VLOOKUP(C344,元件库!$B:$O,2,FALSE),"")</f>
        <v>雷恩电气</v>
      </c>
      <c r="E344" s="166" t="str">
        <f t="shared" si="122"/>
        <v>组</v>
      </c>
      <c r="F344" s="166">
        <v>1</v>
      </c>
      <c r="G344" s="42">
        <f t="shared" si="123"/>
        <v>200</v>
      </c>
      <c r="H344" s="42">
        <f t="shared" si="124"/>
        <v>200</v>
      </c>
      <c r="I344" s="167"/>
      <c r="J344" s="168">
        <f t="shared" si="125"/>
        <v>1</v>
      </c>
      <c r="K344" s="169">
        <f t="shared" si="126"/>
        <v>200</v>
      </c>
      <c r="L344" s="170">
        <f>IFERROR(VLOOKUP(C344,元件库!$B:$O,10,FALSE),"1.00")</f>
        <v>1</v>
      </c>
      <c r="M344" s="171">
        <f>IFERROR(VLOOKUP(C344,元件库!$B:$O,11,FALSE),"")</f>
        <v>200</v>
      </c>
      <c r="N344" s="172" t="str">
        <f t="shared" ca="1" si="127"/>
        <v/>
      </c>
      <c r="O344" s="157"/>
      <c r="W344" s="162"/>
    </row>
    <row r="345" spans="1:23" s="175" customFormat="1" ht="16.5" customHeight="1" x14ac:dyDescent="0.2">
      <c r="A345" s="38">
        <f>COUNTIF($J$1:J345,"!")</f>
        <v>22</v>
      </c>
      <c r="B345" s="163" t="str">
        <f>IFERROR(VLOOKUP(C345,元件库!$B:$O,3,FALSE),"")</f>
        <v>穿墙套管</v>
      </c>
      <c r="C345" s="164" t="s">
        <v>135</v>
      </c>
      <c r="D345" s="165" t="str">
        <f>IFERROR(VLOOKUP(C345,元件库!$B:$O,2,FALSE),"")</f>
        <v>福一开</v>
      </c>
      <c r="E345" s="166" t="str">
        <f t="shared" si="122"/>
        <v>只</v>
      </c>
      <c r="F345" s="166">
        <v>3</v>
      </c>
      <c r="G345" s="42">
        <f t="shared" si="123"/>
        <v>45</v>
      </c>
      <c r="H345" s="42">
        <f t="shared" si="124"/>
        <v>135</v>
      </c>
      <c r="I345" s="167"/>
      <c r="J345" s="168">
        <f t="shared" si="125"/>
        <v>1</v>
      </c>
      <c r="K345" s="169">
        <f t="shared" si="126"/>
        <v>45</v>
      </c>
      <c r="L345" s="170">
        <f>IFERROR(VLOOKUP(C345,元件库!$B:$O,10,FALSE),"1.00")</f>
        <v>1</v>
      </c>
      <c r="M345" s="171">
        <f>IFERROR(VLOOKUP(C345,元件库!$B:$O,11,FALSE),"")</f>
        <v>45</v>
      </c>
      <c r="N345" s="172" t="str">
        <f t="shared" ca="1" si="127"/>
        <v/>
      </c>
      <c r="O345" s="157"/>
      <c r="W345" s="162"/>
    </row>
    <row r="346" spans="1:23" s="175" customFormat="1" ht="16.5" customHeight="1" x14ac:dyDescent="0.2">
      <c r="A346" s="38">
        <f>COUNTIF($J$1:J346,"!")</f>
        <v>22</v>
      </c>
      <c r="B346" s="163" t="str">
        <f>IFERROR(VLOOKUP(C346,元件库!$B:$O,3,FALSE),"")</f>
        <v>支柱绝缘子</v>
      </c>
      <c r="C346" s="164" t="s">
        <v>136</v>
      </c>
      <c r="D346" s="165" t="str">
        <f>IFERROR(VLOOKUP(C346,元件库!$B:$O,2,FALSE),"")</f>
        <v>福一开</v>
      </c>
      <c r="E346" s="166" t="str">
        <f t="shared" si="122"/>
        <v>只</v>
      </c>
      <c r="F346" s="166">
        <v>3</v>
      </c>
      <c r="G346" s="42">
        <f t="shared" si="123"/>
        <v>22</v>
      </c>
      <c r="H346" s="42">
        <f t="shared" si="124"/>
        <v>66</v>
      </c>
      <c r="I346" s="167"/>
      <c r="J346" s="168">
        <f t="shared" si="125"/>
        <v>1</v>
      </c>
      <c r="K346" s="169">
        <f t="shared" si="126"/>
        <v>22</v>
      </c>
      <c r="L346" s="170">
        <f>IFERROR(VLOOKUP(C346,元件库!$B:$O,10,FALSE),"1.00")</f>
        <v>1</v>
      </c>
      <c r="M346" s="171">
        <f>IFERROR(VLOOKUP(C346,元件库!$B:$O,11,FALSE),"")</f>
        <v>22</v>
      </c>
      <c r="N346" s="172" t="str">
        <f t="shared" ca="1" si="127"/>
        <v/>
      </c>
      <c r="O346" s="157"/>
      <c r="W346" s="162"/>
    </row>
    <row r="347" spans="1:23" s="175" customFormat="1" ht="16.5" customHeight="1" x14ac:dyDescent="0.2">
      <c r="A347" s="38">
        <f>COUNTIF($J$1:J347,"!")</f>
        <v>22</v>
      </c>
      <c r="B347" s="163" t="str">
        <f>IFERROR(VLOOKUP(C347,元件库!$B:$O,3,FALSE),"")</f>
        <v>电压传感器</v>
      </c>
      <c r="C347" s="164" t="s">
        <v>137</v>
      </c>
      <c r="D347" s="165" t="str">
        <f>IFERROR(VLOOKUP(C347,元件库!$B:$O,2,FALSE),"")</f>
        <v>福一开</v>
      </c>
      <c r="E347" s="166" t="str">
        <f t="shared" si="122"/>
        <v>只</v>
      </c>
      <c r="F347" s="166">
        <v>1</v>
      </c>
      <c r="G347" s="42">
        <f t="shared" si="123"/>
        <v>93</v>
      </c>
      <c r="H347" s="42">
        <f t="shared" si="124"/>
        <v>93</v>
      </c>
      <c r="I347" s="167"/>
      <c r="J347" s="168">
        <f t="shared" si="125"/>
        <v>1</v>
      </c>
      <c r="K347" s="169">
        <f t="shared" si="126"/>
        <v>93</v>
      </c>
      <c r="L347" s="170">
        <f>IFERROR(VLOOKUP(C347,元件库!$B:$O,10,FALSE),"1.00")</f>
        <v>1</v>
      </c>
      <c r="M347" s="171">
        <f>IFERROR(VLOOKUP(C347,元件库!$B:$O,11,FALSE),"")</f>
        <v>93</v>
      </c>
      <c r="N347" s="172" t="str">
        <f t="shared" ca="1" si="127"/>
        <v/>
      </c>
      <c r="O347" s="157"/>
      <c r="W347" s="162"/>
    </row>
    <row r="348" spans="1:23" s="175" customFormat="1" ht="16.5" customHeight="1" x14ac:dyDescent="0.2">
      <c r="A348" s="38">
        <f>COUNTIF($J$1:J348,"!")</f>
        <v>22</v>
      </c>
      <c r="B348" s="163" t="str">
        <f>IFERROR(VLOOKUP(C348,元件库!$B:$O,3,FALSE),"")</f>
        <v>带电显示器</v>
      </c>
      <c r="C348" s="164" t="s">
        <v>1897</v>
      </c>
      <c r="D348" s="165" t="str">
        <f>IFERROR(VLOOKUP(C348,元件库!$B:$O,2,FALSE),"")</f>
        <v>江山鑫源</v>
      </c>
      <c r="E348" s="166" t="str">
        <f>IF(D348="欣利铜材","米",IF(B348="氧化锌避雷器","组","只"))</f>
        <v>只</v>
      </c>
      <c r="F348" s="166">
        <v>1</v>
      </c>
      <c r="G348" s="42">
        <f>IFERROR(J348*K348,"")</f>
        <v>33</v>
      </c>
      <c r="H348" s="42">
        <f>IFERROR(G348*F348,"")</f>
        <v>33</v>
      </c>
      <c r="I348" s="167"/>
      <c r="J348" s="168">
        <f>P$1</f>
        <v>1</v>
      </c>
      <c r="K348" s="169">
        <f>IFERROR(M348*L348,"")</f>
        <v>33</v>
      </c>
      <c r="L348" s="170">
        <f>IFERROR(VLOOKUP(C348,元件库!$B:$O,10,FALSE),"1.00")</f>
        <v>1</v>
      </c>
      <c r="M348" s="171">
        <f>IFERROR(VLOOKUP(C348,元件库!$B:$O,11,FALSE),"")</f>
        <v>33</v>
      </c>
      <c r="N348" s="172" t="str">
        <f t="shared" ca="1" si="127"/>
        <v/>
      </c>
      <c r="O348" s="157"/>
      <c r="W348" s="162"/>
    </row>
    <row r="349" spans="1:23" s="175" customFormat="1" ht="16.5" customHeight="1" x14ac:dyDescent="0.2">
      <c r="A349" s="38">
        <f>COUNTIF($J$1:J349,"!")</f>
        <v>22</v>
      </c>
      <c r="B349" s="163" t="str">
        <f>IFERROR(VLOOKUP(C349,元件库!$B:$O,3,FALSE),"")</f>
        <v>电磁锁</v>
      </c>
      <c r="C349" s="164" t="s">
        <v>98</v>
      </c>
      <c r="D349" s="165" t="str">
        <f>IFERROR(VLOOKUP(C349,元件库!$B:$O,2,FALSE),"")</f>
        <v>哈陆拉</v>
      </c>
      <c r="E349" s="166" t="str">
        <f>IF(D349="欣利铜材","米",IF(B349="氧化锌避雷器","组","只"))</f>
        <v>只</v>
      </c>
      <c r="F349" s="166">
        <v>1</v>
      </c>
      <c r="G349" s="42">
        <f>IFERROR(J349*K349,"")</f>
        <v>55</v>
      </c>
      <c r="H349" s="42">
        <f>IFERROR(G349*F349,"")</f>
        <v>55</v>
      </c>
      <c r="I349" s="167"/>
      <c r="J349" s="168">
        <f t="shared" ref="J349:J356" si="128">P$1</f>
        <v>1</v>
      </c>
      <c r="K349" s="169">
        <f>IFERROR(M349*L349,"")</f>
        <v>55</v>
      </c>
      <c r="L349" s="170">
        <f>IFERROR(VLOOKUP(C349,元件库!$B:$O,10,FALSE),"1.00")</f>
        <v>1</v>
      </c>
      <c r="M349" s="171">
        <f>IFERROR(VLOOKUP(C349,元件库!$B:$O,11,FALSE),"")</f>
        <v>55</v>
      </c>
      <c r="N349" s="172" t="str">
        <f t="shared" ca="1" si="127"/>
        <v/>
      </c>
      <c r="O349" s="157"/>
      <c r="W349" s="162"/>
    </row>
    <row r="350" spans="1:23" s="175" customFormat="1" ht="16.5" customHeight="1" x14ac:dyDescent="0.2">
      <c r="A350" s="38">
        <f>COUNTIF($J$1:J350,"!")</f>
        <v>22</v>
      </c>
      <c r="B350" s="163" t="str">
        <f>IFERROR(VLOOKUP(C350,元件库!$B:$O,3,FALSE),"")</f>
        <v>温湿度控制器</v>
      </c>
      <c r="C350" s="164" t="s">
        <v>153</v>
      </c>
      <c r="D350" s="165" t="str">
        <f>IFERROR(VLOOKUP(C350,元件库!$B:$O,2,FALSE),"")</f>
        <v>实德电气</v>
      </c>
      <c r="E350" s="166" t="str">
        <f t="shared" ref="E350:E356" si="129">IF(D350="欣利铜材","米",IF(B350="氧化锌避雷器","组","只"))</f>
        <v>只</v>
      </c>
      <c r="F350" s="166">
        <v>1</v>
      </c>
      <c r="G350" s="42">
        <f t="shared" ref="G350:G356" si="130">IFERROR(J350*K350,"")</f>
        <v>110</v>
      </c>
      <c r="H350" s="42">
        <f t="shared" ref="H350:H356" si="131">IFERROR(G350*F350,"")</f>
        <v>110</v>
      </c>
      <c r="I350" s="167"/>
      <c r="J350" s="168">
        <f t="shared" si="128"/>
        <v>1</v>
      </c>
      <c r="K350" s="169">
        <f t="shared" ref="K350:K356" si="132">IFERROR(M350*L350,"")</f>
        <v>110</v>
      </c>
      <c r="L350" s="170">
        <f>IFERROR(VLOOKUP(C350,元件库!$B:$O,10,FALSE),"1.00")</f>
        <v>1</v>
      </c>
      <c r="M350" s="171">
        <f>IFERROR(VLOOKUP(C350,元件库!$B:$O,11,FALSE),"")</f>
        <v>110</v>
      </c>
      <c r="N350" s="172" t="str">
        <f t="shared" ca="1" si="127"/>
        <v/>
      </c>
      <c r="O350" s="157"/>
    </row>
    <row r="351" spans="1:23" s="175" customFormat="1" ht="16.5" customHeight="1" x14ac:dyDescent="0.2">
      <c r="A351" s="38">
        <f>COUNTIF($J$1:J351,"!")</f>
        <v>22</v>
      </c>
      <c r="B351" s="163" t="str">
        <f>IFERROR(VLOOKUP(C351,元件库!$B:$O,3,FALSE),"")</f>
        <v>加热器</v>
      </c>
      <c r="C351" s="164" t="s">
        <v>101</v>
      </c>
      <c r="D351" s="165" t="str">
        <f>IFERROR(VLOOKUP(C351,元件库!$B:$O,2,FALSE),"")</f>
        <v>实德电气</v>
      </c>
      <c r="E351" s="166" t="str">
        <f t="shared" si="129"/>
        <v>只</v>
      </c>
      <c r="F351" s="166">
        <v>2</v>
      </c>
      <c r="G351" s="42">
        <f t="shared" si="130"/>
        <v>18</v>
      </c>
      <c r="H351" s="42">
        <f t="shared" si="131"/>
        <v>36</v>
      </c>
      <c r="I351" s="167"/>
      <c r="J351" s="168">
        <f t="shared" si="128"/>
        <v>1</v>
      </c>
      <c r="K351" s="169">
        <f t="shared" si="132"/>
        <v>18</v>
      </c>
      <c r="L351" s="170">
        <f>IFERROR(VLOOKUP(C351,元件库!$B:$O,10,FALSE),"1.00")</f>
        <v>1</v>
      </c>
      <c r="M351" s="171">
        <f>IFERROR(VLOOKUP(C351,元件库!$B:$O,11,FALSE),"")</f>
        <v>18</v>
      </c>
      <c r="N351" s="172" t="str">
        <f t="shared" ca="1" si="127"/>
        <v/>
      </c>
      <c r="O351" s="157"/>
    </row>
    <row r="352" spans="1:23" s="175" customFormat="1" ht="16.5" customHeight="1" x14ac:dyDescent="0.2">
      <c r="A352" s="38">
        <f>COUNTIF($J$1:J352,"!")</f>
        <v>22</v>
      </c>
      <c r="B352" s="163" t="str">
        <f>IFERROR(VLOOKUP(C352,元件库!$B:$O,3,FALSE),"")</f>
        <v>高压热缩管</v>
      </c>
      <c r="C352" s="185" t="str">
        <f>"10KV"&amp;MID(C355,4,10)</f>
        <v>10KV-60*6</v>
      </c>
      <c r="D352" s="165" t="str">
        <f>IFERROR(VLOOKUP(C352,元件库!$B:$O,2,FALSE),"")</f>
        <v>精益联合集团</v>
      </c>
      <c r="E352" s="166" t="str">
        <f t="shared" si="129"/>
        <v>只</v>
      </c>
      <c r="F352" s="166">
        <f>ROUND(SUM(F355:F356),0)</f>
        <v>2</v>
      </c>
      <c r="G352" s="42">
        <f t="shared" si="130"/>
        <v>12</v>
      </c>
      <c r="H352" s="42">
        <f t="shared" si="131"/>
        <v>24</v>
      </c>
      <c r="I352" s="167"/>
      <c r="J352" s="168">
        <f t="shared" si="128"/>
        <v>1</v>
      </c>
      <c r="K352" s="169">
        <f t="shared" si="132"/>
        <v>12</v>
      </c>
      <c r="L352" s="170">
        <f>IFERROR(VLOOKUP(C352,元件库!$B:$O,10,FALSE),"1.00")</f>
        <v>1</v>
      </c>
      <c r="M352" s="171">
        <f>IFERROR(VLOOKUP(C352,元件库!$B:$O,11,FALSE),"")</f>
        <v>12</v>
      </c>
      <c r="N352" s="172" t="str">
        <f t="shared" ca="1" si="127"/>
        <v/>
      </c>
      <c r="O352" s="157"/>
    </row>
    <row r="353" spans="1:23" s="175" customFormat="1" ht="16.5" customHeight="1" x14ac:dyDescent="0.2">
      <c r="A353" s="38">
        <f>COUNTIF($J$1:J353,"!")</f>
        <v>22</v>
      </c>
      <c r="B353" s="163" t="str">
        <f>IFERROR(VLOOKUP(C353,元件库!$B:$O,3,FALSE),"")</f>
        <v>铜排</v>
      </c>
      <c r="C353" s="185" t="s">
        <v>1889</v>
      </c>
      <c r="D353" s="165" t="str">
        <f>IFERROR(VLOOKUP(C353,元件库!$B:$O,2,FALSE),"")</f>
        <v>欣利铜材</v>
      </c>
      <c r="E353" s="166" t="str">
        <f t="shared" si="129"/>
        <v>米</v>
      </c>
      <c r="F353" s="166">
        <v>6</v>
      </c>
      <c r="G353" s="42">
        <f t="shared" si="130"/>
        <v>182.62799999999999</v>
      </c>
      <c r="H353" s="42">
        <f t="shared" si="131"/>
        <v>1095.768</v>
      </c>
      <c r="I353" s="167"/>
      <c r="J353" s="168">
        <f t="shared" si="128"/>
        <v>1</v>
      </c>
      <c r="K353" s="169">
        <f t="shared" si="132"/>
        <v>182.62799999999999</v>
      </c>
      <c r="L353" s="170">
        <f>IFERROR(VLOOKUP(C353,元件库!$B:$O,10,FALSE),"1.00")</f>
        <v>1</v>
      </c>
      <c r="M353" s="171">
        <f>IFERROR(VLOOKUP(C353,元件库!$B:$O,11,FALSE),"")</f>
        <v>182.62799999999999</v>
      </c>
      <c r="N353" s="172" t="str">
        <f t="shared" ca="1" si="127"/>
        <v/>
      </c>
      <c r="O353" s="174" t="str">
        <f>O356</f>
        <v>HXGN-500*900*2000</v>
      </c>
    </row>
    <row r="354" spans="1:23" s="175" customFormat="1" ht="16.5" customHeight="1" x14ac:dyDescent="0.2">
      <c r="A354" s="38">
        <f>COUNTIF($J$1:J354,"!")</f>
        <v>22</v>
      </c>
      <c r="B354" s="163" t="str">
        <f>IFERROR(VLOOKUP(C354,元件库!$B:$O,3,FALSE),"")</f>
        <v>铜排</v>
      </c>
      <c r="C354" s="185" t="s">
        <v>1910</v>
      </c>
      <c r="D354" s="165" t="str">
        <f>IFERROR(VLOOKUP(C354,元件库!$B:$O,2,FALSE),"")</f>
        <v>欣利铜材</v>
      </c>
      <c r="E354" s="166" t="str">
        <f t="shared" si="129"/>
        <v>米</v>
      </c>
      <c r="F354" s="166">
        <v>3</v>
      </c>
      <c r="G354" s="42">
        <f t="shared" si="130"/>
        <v>45.656999999999996</v>
      </c>
      <c r="H354" s="42">
        <f t="shared" si="131"/>
        <v>136.971</v>
      </c>
      <c r="I354" s="167"/>
      <c r="J354" s="168">
        <f t="shared" si="128"/>
        <v>1</v>
      </c>
      <c r="K354" s="169">
        <f t="shared" si="132"/>
        <v>45.656999999999996</v>
      </c>
      <c r="L354" s="170">
        <f>IFERROR(VLOOKUP(C354,元件库!$B:$O,10,FALSE),"1.00")</f>
        <v>1</v>
      </c>
      <c r="M354" s="171">
        <f>IFERROR(VLOOKUP(C354,元件库!$B:$O,11,FALSE),"")</f>
        <v>45.656999999999996</v>
      </c>
      <c r="N354" s="172" t="str">
        <f t="shared" ca="1" si="127"/>
        <v/>
      </c>
      <c r="O354" s="174">
        <f>O357</f>
        <v>0</v>
      </c>
    </row>
    <row r="355" spans="1:23" s="175" customFormat="1" ht="16.5" customHeight="1" x14ac:dyDescent="0.2">
      <c r="A355" s="38">
        <f>COUNTIF($J$1:J355,"!")</f>
        <v>22</v>
      </c>
      <c r="B355" s="163" t="s">
        <v>2171</v>
      </c>
      <c r="C355" s="185" t="s">
        <v>1889</v>
      </c>
      <c r="D355" s="165" t="str">
        <f>IFERROR(VLOOKUP(C355,元件库!$B:$O,2,FALSE),"")</f>
        <v>欣利铜材</v>
      </c>
      <c r="E355" s="166" t="str">
        <f t="shared" si="129"/>
        <v>米</v>
      </c>
      <c r="F355" s="166">
        <f>1*MID(O355,FIND("-",O355)+1,FIND("*",O355)-FIND("-",O355)-1)/1000*IF(B355="水平排",3,1)+IF(AND(B355="零母排",VLOOKUP(A355,A$1:B351,2,FALSE)="低压进线柜"),1.5,0)</f>
        <v>1.5</v>
      </c>
      <c r="G355" s="42">
        <f t="shared" si="130"/>
        <v>182.62799999999999</v>
      </c>
      <c r="H355" s="42">
        <f t="shared" si="131"/>
        <v>273.94200000000001</v>
      </c>
      <c r="I355" s="167"/>
      <c r="J355" s="168">
        <f t="shared" si="128"/>
        <v>1</v>
      </c>
      <c r="K355" s="169">
        <f t="shared" si="132"/>
        <v>182.62799999999999</v>
      </c>
      <c r="L355" s="170">
        <f>IFERROR(VLOOKUP(C355,元件库!$B:$O,10,FALSE),"1.00")</f>
        <v>1</v>
      </c>
      <c r="M355" s="171">
        <f>IFERROR(VLOOKUP(C355,元件库!$B:$O,11,FALSE),"")</f>
        <v>182.62799999999999</v>
      </c>
      <c r="N355" s="172" t="str">
        <f t="shared" ca="1" si="127"/>
        <v/>
      </c>
      <c r="O355" s="174" t="str">
        <f>O358</f>
        <v>HXGN-500*900*2000</v>
      </c>
    </row>
    <row r="356" spans="1:23" s="175" customFormat="1" ht="16.5" customHeight="1" x14ac:dyDescent="0.2">
      <c r="A356" s="38">
        <f>COUNTIF($J$1:J356,"!")</f>
        <v>22</v>
      </c>
      <c r="B356" s="163" t="s">
        <v>2172</v>
      </c>
      <c r="C356" s="185" t="s">
        <v>2326</v>
      </c>
      <c r="D356" s="165" t="str">
        <f>IFERROR(VLOOKUP(C356,元件库!$B:$O,2,FALSE),"")</f>
        <v>欣利铜材</v>
      </c>
      <c r="E356" s="166" t="str">
        <f t="shared" si="129"/>
        <v>米</v>
      </c>
      <c r="F356" s="166">
        <f>1*MID(O356,FIND("-",O356)+1,FIND("*",O356)-FIND("-",O356)-1)/1000*IF(B356="水平排",3,1)+IF(AND(B356="零母排",VLOOKUP(A356,A$1:B352,2,FALSE)="低压进线柜"),1.5,0)</f>
        <v>0.5</v>
      </c>
      <c r="G356" s="42">
        <f t="shared" si="130"/>
        <v>81.167999999999992</v>
      </c>
      <c r="H356" s="42">
        <f t="shared" si="131"/>
        <v>40.583999999999996</v>
      </c>
      <c r="I356" s="167"/>
      <c r="J356" s="168">
        <f t="shared" si="128"/>
        <v>1</v>
      </c>
      <c r="K356" s="169">
        <f t="shared" si="132"/>
        <v>81.167999999999992</v>
      </c>
      <c r="L356" s="170">
        <f>IFERROR(VLOOKUP(C356,元件库!$B:$O,10,FALSE),"1.00")</f>
        <v>1</v>
      </c>
      <c r="M356" s="171">
        <f>IFERROR(VLOOKUP(C356,元件库!$B:$O,11,FALSE),"")</f>
        <v>81.167999999999992</v>
      </c>
      <c r="N356" s="172" t="str">
        <f t="shared" ca="1" si="127"/>
        <v/>
      </c>
      <c r="O356" s="174" t="str">
        <f>O359</f>
        <v>HXGN-500*900*2000</v>
      </c>
    </row>
    <row r="357" spans="1:23" s="162" customFormat="1" ht="16.5" customHeight="1" x14ac:dyDescent="0.2">
      <c r="A357" s="38">
        <f>COUNTIF($J$1:J357,"!")</f>
        <v>22</v>
      </c>
      <c r="B357" s="177" t="s">
        <v>107</v>
      </c>
      <c r="C357" s="164"/>
      <c r="D357" s="166"/>
      <c r="E357" s="166"/>
      <c r="F357" s="166"/>
      <c r="G357" s="42"/>
      <c r="H357" s="42"/>
      <c r="I357" s="178">
        <f>SUM(H340:H357)</f>
        <v>5946.5149999999994</v>
      </c>
      <c r="J357" s="168"/>
      <c r="K357" s="169"/>
      <c r="L357" s="170"/>
      <c r="M357" s="171"/>
      <c r="O357" s="161"/>
      <c r="P357" s="157"/>
    </row>
    <row r="358" spans="1:23" ht="16.5" customHeight="1" x14ac:dyDescent="0.2">
      <c r="A358" s="38">
        <f>COUNTIF($J$1:J358,"!")</f>
        <v>22</v>
      </c>
      <c r="B358" s="179" t="s">
        <v>47</v>
      </c>
      <c r="C358" s="164"/>
      <c r="D358" s="166"/>
      <c r="E358" s="166"/>
      <c r="F358" s="166"/>
      <c r="G358" s="42"/>
      <c r="H358" s="42">
        <f>IFERROR(J358*M358*L358,"")</f>
        <v>400</v>
      </c>
      <c r="I358" s="167"/>
      <c r="J358" s="168">
        <f>P$1</f>
        <v>1</v>
      </c>
      <c r="K358" s="169">
        <f t="shared" ref="K358:K359" si="133">IFERROR(M358*L358,"")</f>
        <v>400</v>
      </c>
      <c r="L358" s="170" t="str">
        <f>IFERROR(VLOOKUP(C358,元件库!$B:$O,10,FALSE),"1.00")</f>
        <v>1.00</v>
      </c>
      <c r="M358" s="171">
        <v>400</v>
      </c>
      <c r="O358" s="180" t="str">
        <f>C340</f>
        <v>HXGN-500*900*2000</v>
      </c>
      <c r="P358" s="162"/>
      <c r="R358" s="157"/>
      <c r="S358" s="157"/>
    </row>
    <row r="359" spans="1:23" s="161" customFormat="1" ht="16.5" customHeight="1" x14ac:dyDescent="0.2">
      <c r="A359" s="38">
        <f>COUNTIF($J$1:J359,"!")</f>
        <v>22</v>
      </c>
      <c r="B359" s="179" t="s">
        <v>49</v>
      </c>
      <c r="C359" s="164"/>
      <c r="D359" s="166"/>
      <c r="E359" s="166"/>
      <c r="F359" s="166"/>
      <c r="G359" s="42"/>
      <c r="H359" s="42">
        <f>IFERROR(J359*M359*L359,"")</f>
        <v>200</v>
      </c>
      <c r="I359" s="167"/>
      <c r="J359" s="168">
        <f>P$1</f>
        <v>1</v>
      </c>
      <c r="K359" s="169">
        <f t="shared" si="133"/>
        <v>200</v>
      </c>
      <c r="L359" s="170" t="str">
        <f>IFERROR(VLOOKUP(C359,元件库!$B:$O,10,FALSE),"1.00")</f>
        <v>1.00</v>
      </c>
      <c r="M359" s="171">
        <v>200</v>
      </c>
      <c r="O359" s="174" t="str">
        <f>O358</f>
        <v>HXGN-500*900*2000</v>
      </c>
      <c r="P359" s="162"/>
      <c r="Q359" s="162"/>
    </row>
    <row r="360" spans="1:23" s="161" customFormat="1" ht="16.5" customHeight="1" x14ac:dyDescent="0.2">
      <c r="A360" s="38">
        <f>COUNTIF($J$1:J360,"!")</f>
        <v>22</v>
      </c>
      <c r="B360" s="179" t="s">
        <v>79</v>
      </c>
      <c r="C360" s="164"/>
      <c r="D360" s="166"/>
      <c r="E360" s="166"/>
      <c r="F360" s="166"/>
      <c r="G360" s="42"/>
      <c r="H360" s="42">
        <f>K360*L360</f>
        <v>785.58179999999993</v>
      </c>
      <c r="I360" s="167"/>
      <c r="J360" s="168"/>
      <c r="K360" s="169">
        <f>SUM(H358:H359)+I357</f>
        <v>6546.5149999999994</v>
      </c>
      <c r="L360" s="279">
        <f>R$1</f>
        <v>0.12</v>
      </c>
      <c r="M360" s="171"/>
      <c r="O360" s="181"/>
      <c r="P360" s="162"/>
      <c r="Q360" s="162"/>
    </row>
    <row r="361" spans="1:23" ht="16.5" customHeight="1" x14ac:dyDescent="0.2">
      <c r="A361" s="38">
        <f>COUNTIF($J$1:J361,"!")</f>
        <v>22</v>
      </c>
      <c r="B361" s="179" t="s">
        <v>108</v>
      </c>
      <c r="C361" s="164"/>
      <c r="D361" s="166"/>
      <c r="E361" s="166"/>
      <c r="F361" s="166"/>
      <c r="G361" s="184"/>
      <c r="H361" s="42">
        <f>K361*L361</f>
        <v>219.96290399999998</v>
      </c>
      <c r="I361" s="167"/>
      <c r="J361" s="168"/>
      <c r="K361" s="169">
        <f>H360+K360</f>
        <v>7332.0967999999993</v>
      </c>
      <c r="L361" s="279">
        <f>T$1</f>
        <v>0.03</v>
      </c>
      <c r="M361" s="171"/>
      <c r="O361" s="161"/>
      <c r="P361" s="162"/>
      <c r="R361" s="157"/>
      <c r="S361" s="157"/>
    </row>
    <row r="362" spans="1:23" s="162" customFormat="1" ht="16.5" customHeight="1" x14ac:dyDescent="0.15">
      <c r="A362" s="32">
        <f>COUNTIF($J$1:J362,"!")</f>
        <v>23</v>
      </c>
      <c r="B362" s="33" t="s">
        <v>1886</v>
      </c>
      <c r="C362" s="296" t="s">
        <v>3155</v>
      </c>
      <c r="D362" s="159" t="s">
        <v>3154</v>
      </c>
      <c r="E362" s="34" t="s">
        <v>23</v>
      </c>
      <c r="F362" s="159">
        <v>1</v>
      </c>
      <c r="G362" s="36">
        <f>ROUND(SUM(H363:H381),0)</f>
        <v>6671</v>
      </c>
      <c r="H362" s="160" t="str">
        <f>IF(ISNUMBER(FIND(" ",C363)),MID(C363,1,FIND(" ",C363)-1),IF(ISNUMBER(FIND("电容柜",B362)),"GGJ",MID(C363,1,FIND("-",C363)-1)))</f>
        <v>HXGN</v>
      </c>
      <c r="I362" s="47" t="str">
        <f>MID(C363,IF(LEN(C363)-LEN(H362)&gt;3,LEN(H362)+2,1),30)</f>
        <v>800*900*2000</v>
      </c>
      <c r="J362" s="48" t="s">
        <v>24</v>
      </c>
      <c r="K362" s="49"/>
      <c r="L362" s="50"/>
      <c r="M362" s="51"/>
      <c r="N362" s="172"/>
      <c r="O362" s="161"/>
    </row>
    <row r="363" spans="1:23" s="162" customFormat="1" ht="16.5" customHeight="1" x14ac:dyDescent="0.2">
      <c r="A363" s="38">
        <f>COUNTIF($J$1:J363,"!")</f>
        <v>23</v>
      </c>
      <c r="B363" s="163" t="str">
        <f>IFERROR(VLOOKUP(C363,元件库!$B:$O,3,FALSE),"")</f>
        <v>壳体W*D*H</v>
      </c>
      <c r="C363" s="164" t="s">
        <v>3122</v>
      </c>
      <c r="D363" s="165" t="str">
        <f>IFERROR(VLOOKUP(C363,元件库!$B:$O,2,FALSE),"")</f>
        <v>精益联合集团</v>
      </c>
      <c r="E363" s="166" t="str">
        <f t="shared" ref="E363:E368" si="134">IF(D363="欣利铜材","米",IF(B363="氧化锌避雷器","组","只"))</f>
        <v>只</v>
      </c>
      <c r="F363" s="166">
        <v>1</v>
      </c>
      <c r="G363" s="42">
        <f t="shared" ref="G363:G368" si="135">IFERROR(J363*K363,"")</f>
        <v>1800</v>
      </c>
      <c r="H363" s="42">
        <f t="shared" ref="H363:H368" si="136">IFERROR(G363*F363,"")</f>
        <v>1800</v>
      </c>
      <c r="I363" s="167"/>
      <c r="J363" s="168">
        <f t="shared" ref="J363:J368" si="137">P$1</f>
        <v>1</v>
      </c>
      <c r="K363" s="169">
        <f t="shared" ref="K363:K368" si="138">IFERROR(M363*L363,"")</f>
        <v>1800</v>
      </c>
      <c r="L363" s="170">
        <f>IFERROR(VLOOKUP(C363,元件库!$B:$O,10,FALSE),"1.00")</f>
        <v>1</v>
      </c>
      <c r="M363" s="171">
        <f>IFERROR(VLOOKUP(C363,元件库!$B:$O,11,FALSE),"")</f>
        <v>1800</v>
      </c>
      <c r="N363" s="172" t="str">
        <f t="shared" ref="N363:N376" ca="1" si="139">IF(AND(ISNUMBER(FIND("IF",_xlfn.FORMULATEXT(L363))),ISNUMBER(FIND("IF",_xlfn.FORMULATEXT(M363)))),"","值")</f>
        <v/>
      </c>
      <c r="O363" s="157"/>
      <c r="P363" s="157"/>
    </row>
    <row r="364" spans="1:23" s="175" customFormat="1" ht="16.5" customHeight="1" x14ac:dyDescent="0.2">
      <c r="A364" s="38">
        <f>COUNTIF($J$1:J364,"!")</f>
        <v>23</v>
      </c>
      <c r="B364" s="163" t="str">
        <f>IFERROR(VLOOKUP(C364,元件库!$B:$O,3,FALSE),"")</f>
        <v/>
      </c>
      <c r="C364" s="164" t="s">
        <v>861</v>
      </c>
      <c r="D364" s="165" t="str">
        <f>IFERROR(VLOOKUP(C364,元件库!$B:$O,2,FALSE),"")</f>
        <v/>
      </c>
      <c r="E364" s="166" t="str">
        <f t="shared" si="134"/>
        <v>只</v>
      </c>
      <c r="F364" s="166">
        <v>1</v>
      </c>
      <c r="G364" s="42" t="str">
        <f t="shared" si="135"/>
        <v/>
      </c>
      <c r="H364" s="42" t="str">
        <f t="shared" si="136"/>
        <v/>
      </c>
      <c r="I364" s="167"/>
      <c r="J364" s="168">
        <f t="shared" si="137"/>
        <v>1</v>
      </c>
      <c r="K364" s="169" t="str">
        <f t="shared" si="138"/>
        <v/>
      </c>
      <c r="L364" s="170" t="str">
        <f>IFERROR(VLOOKUP(C364,元件库!$B:$O,10,FALSE),"1.00")</f>
        <v>1.00</v>
      </c>
      <c r="M364" s="171" t="str">
        <f>IFERROR(VLOOKUP(C364,元件库!$B:$O,11,FALSE),"")</f>
        <v/>
      </c>
      <c r="N364" s="172" t="str">
        <f t="shared" ca="1" si="139"/>
        <v/>
      </c>
      <c r="O364" s="157"/>
      <c r="W364" s="162"/>
    </row>
    <row r="365" spans="1:23" s="175" customFormat="1" ht="16.5" customHeight="1" x14ac:dyDescent="0.2">
      <c r="A365" s="38">
        <f>COUNTIF($J$1:J365,"!")</f>
        <v>23</v>
      </c>
      <c r="B365" s="163" t="str">
        <f>IFERROR(VLOOKUP(C365,元件库!$B:$O,3,FALSE),"")</f>
        <v>高压熔断器</v>
      </c>
      <c r="C365" s="164" t="s">
        <v>3123</v>
      </c>
      <c r="D365" s="165" t="str">
        <f>IFERROR(VLOOKUP(C365,元件库!$B:$O,2,FALSE),"")</f>
        <v>上海智广</v>
      </c>
      <c r="E365" s="166" t="str">
        <f t="shared" si="134"/>
        <v>只</v>
      </c>
      <c r="F365" s="166">
        <v>3</v>
      </c>
      <c r="G365" s="42">
        <f t="shared" si="135"/>
        <v>140</v>
      </c>
      <c r="H365" s="42">
        <f t="shared" si="136"/>
        <v>420</v>
      </c>
      <c r="I365" s="167"/>
      <c r="J365" s="168">
        <f t="shared" si="137"/>
        <v>1</v>
      </c>
      <c r="K365" s="169">
        <f t="shared" si="138"/>
        <v>140</v>
      </c>
      <c r="L365" s="170">
        <f>IFERROR(VLOOKUP(C365,元件库!$B:$O,10,FALSE),"1.00")</f>
        <v>1</v>
      </c>
      <c r="M365" s="171">
        <f>IFERROR(VLOOKUP(C365,元件库!$B:$O,11,FALSE),"")</f>
        <v>140</v>
      </c>
      <c r="N365" s="172" t="str">
        <f t="shared" ca="1" si="139"/>
        <v/>
      </c>
      <c r="O365" s="157"/>
      <c r="W365" s="162"/>
    </row>
    <row r="366" spans="1:23" s="175" customFormat="1" ht="16.5" customHeight="1" x14ac:dyDescent="0.2">
      <c r="A366" s="38">
        <f>COUNTIF($J$1:J366,"!")</f>
        <v>23</v>
      </c>
      <c r="B366" s="163" t="str">
        <f>IFERROR(VLOOKUP(C366,元件库!$B:$O,3,FALSE),"")</f>
        <v>穿墙套管</v>
      </c>
      <c r="C366" s="164" t="s">
        <v>135</v>
      </c>
      <c r="D366" s="165" t="str">
        <f>IFERROR(VLOOKUP(C366,元件库!$B:$O,2,FALSE),"")</f>
        <v>福一开</v>
      </c>
      <c r="E366" s="166" t="str">
        <f t="shared" si="134"/>
        <v>只</v>
      </c>
      <c r="F366" s="166">
        <v>3</v>
      </c>
      <c r="G366" s="42">
        <f t="shared" si="135"/>
        <v>45</v>
      </c>
      <c r="H366" s="42">
        <f t="shared" si="136"/>
        <v>135</v>
      </c>
      <c r="I366" s="167"/>
      <c r="J366" s="168">
        <f t="shared" si="137"/>
        <v>1</v>
      </c>
      <c r="K366" s="169">
        <f t="shared" si="138"/>
        <v>45</v>
      </c>
      <c r="L366" s="170">
        <f>IFERROR(VLOOKUP(C366,元件库!$B:$O,10,FALSE),"1.00")</f>
        <v>1</v>
      </c>
      <c r="M366" s="171">
        <f>IFERROR(VLOOKUP(C366,元件库!$B:$O,11,FALSE),"")</f>
        <v>45</v>
      </c>
      <c r="N366" s="172" t="str">
        <f t="shared" ca="1" si="139"/>
        <v/>
      </c>
      <c r="O366" s="157"/>
      <c r="W366" s="162"/>
    </row>
    <row r="367" spans="1:23" s="175" customFormat="1" ht="16.5" customHeight="1" x14ac:dyDescent="0.2">
      <c r="A367" s="38">
        <f>COUNTIF($J$1:J367,"!")</f>
        <v>23</v>
      </c>
      <c r="B367" s="163" t="str">
        <f>IFERROR(VLOOKUP(C367,元件库!$B:$O,3,FALSE),"")</f>
        <v>支柱绝缘子</v>
      </c>
      <c r="C367" s="164" t="s">
        <v>136</v>
      </c>
      <c r="D367" s="165" t="str">
        <f>IFERROR(VLOOKUP(C367,元件库!$B:$O,2,FALSE),"")</f>
        <v>福一开</v>
      </c>
      <c r="E367" s="166" t="str">
        <f t="shared" si="134"/>
        <v>只</v>
      </c>
      <c r="F367" s="166">
        <v>3</v>
      </c>
      <c r="G367" s="42">
        <f t="shared" si="135"/>
        <v>22</v>
      </c>
      <c r="H367" s="42">
        <f t="shared" si="136"/>
        <v>66</v>
      </c>
      <c r="I367" s="167"/>
      <c r="J367" s="168">
        <f t="shared" si="137"/>
        <v>1</v>
      </c>
      <c r="K367" s="169">
        <f t="shared" si="138"/>
        <v>22</v>
      </c>
      <c r="L367" s="170">
        <f>IFERROR(VLOOKUP(C367,元件库!$B:$O,10,FALSE),"1.00")</f>
        <v>1</v>
      </c>
      <c r="M367" s="171">
        <f>IFERROR(VLOOKUP(C367,元件库!$B:$O,11,FALSE),"")</f>
        <v>22</v>
      </c>
      <c r="N367" s="172" t="str">
        <f t="shared" ca="1" si="139"/>
        <v/>
      </c>
      <c r="O367" s="157"/>
      <c r="W367" s="162"/>
    </row>
    <row r="368" spans="1:23" s="175" customFormat="1" ht="16.5" customHeight="1" x14ac:dyDescent="0.2">
      <c r="A368" s="38">
        <f>COUNTIF($J$1:J368,"!")</f>
        <v>23</v>
      </c>
      <c r="B368" s="163" t="str">
        <f>IFERROR(VLOOKUP(C368,元件库!$B:$O,3,FALSE),"")</f>
        <v>电压传感器</v>
      </c>
      <c r="C368" s="164" t="s">
        <v>137</v>
      </c>
      <c r="D368" s="165" t="str">
        <f>IFERROR(VLOOKUP(C368,元件库!$B:$O,2,FALSE),"")</f>
        <v>福一开</v>
      </c>
      <c r="E368" s="166" t="str">
        <f t="shared" si="134"/>
        <v>只</v>
      </c>
      <c r="F368" s="166">
        <v>1</v>
      </c>
      <c r="G368" s="42">
        <f t="shared" si="135"/>
        <v>93</v>
      </c>
      <c r="H368" s="42">
        <f t="shared" si="136"/>
        <v>93</v>
      </c>
      <c r="I368" s="167"/>
      <c r="J368" s="168">
        <f t="shared" si="137"/>
        <v>1</v>
      </c>
      <c r="K368" s="169">
        <f t="shared" si="138"/>
        <v>93</v>
      </c>
      <c r="L368" s="170">
        <f>IFERROR(VLOOKUP(C368,元件库!$B:$O,10,FALSE),"1.00")</f>
        <v>1</v>
      </c>
      <c r="M368" s="171">
        <f>IFERROR(VLOOKUP(C368,元件库!$B:$O,11,FALSE),"")</f>
        <v>93</v>
      </c>
      <c r="N368" s="172" t="str">
        <f t="shared" ca="1" si="139"/>
        <v/>
      </c>
      <c r="O368" s="157"/>
      <c r="W368" s="162"/>
    </row>
    <row r="369" spans="1:23" s="175" customFormat="1" ht="16.5" customHeight="1" x14ac:dyDescent="0.2">
      <c r="A369" s="38">
        <f>COUNTIF($J$1:J369,"!")</f>
        <v>23</v>
      </c>
      <c r="B369" s="163" t="str">
        <f>IFERROR(VLOOKUP(C369,元件库!$B:$O,3,FALSE),"")</f>
        <v>带电显示器</v>
      </c>
      <c r="C369" s="164" t="s">
        <v>1897</v>
      </c>
      <c r="D369" s="165" t="str">
        <f>IFERROR(VLOOKUP(C369,元件库!$B:$O,2,FALSE),"")</f>
        <v>江山鑫源</v>
      </c>
      <c r="E369" s="166" t="str">
        <f>IF(D369="欣利铜材","米",IF(B369="氧化锌避雷器","组","只"))</f>
        <v>只</v>
      </c>
      <c r="F369" s="166">
        <v>1</v>
      </c>
      <c r="G369" s="42">
        <f>IFERROR(J369*K369,"")</f>
        <v>33</v>
      </c>
      <c r="H369" s="42">
        <f>IFERROR(G369*F369,"")</f>
        <v>33</v>
      </c>
      <c r="I369" s="167"/>
      <c r="J369" s="168">
        <f>P$1</f>
        <v>1</v>
      </c>
      <c r="K369" s="169">
        <f>IFERROR(M369*L369,"")</f>
        <v>33</v>
      </c>
      <c r="L369" s="170">
        <f>IFERROR(VLOOKUP(C369,元件库!$B:$O,10,FALSE),"1.00")</f>
        <v>1</v>
      </c>
      <c r="M369" s="171">
        <f>IFERROR(VLOOKUP(C369,元件库!$B:$O,11,FALSE),"")</f>
        <v>33</v>
      </c>
      <c r="N369" s="172" t="str">
        <f t="shared" ca="1" si="139"/>
        <v/>
      </c>
      <c r="O369" s="157"/>
      <c r="W369" s="162"/>
    </row>
    <row r="370" spans="1:23" s="175" customFormat="1" ht="16.5" customHeight="1" x14ac:dyDescent="0.2">
      <c r="A370" s="38">
        <f>COUNTIF($J$1:J370,"!")</f>
        <v>23</v>
      </c>
      <c r="B370" s="163" t="str">
        <f>IFERROR(VLOOKUP(C370,元件库!$B:$O,3,FALSE),"")</f>
        <v>电磁锁</v>
      </c>
      <c r="C370" s="164" t="s">
        <v>98</v>
      </c>
      <c r="D370" s="165" t="str">
        <f>IFERROR(VLOOKUP(C370,元件库!$B:$O,2,FALSE),"")</f>
        <v>哈陆拉</v>
      </c>
      <c r="E370" s="166" t="str">
        <f>IF(D370="欣利铜材","米",IF(B370="氧化锌避雷器","组","只"))</f>
        <v>只</v>
      </c>
      <c r="F370" s="166">
        <v>1</v>
      </c>
      <c r="G370" s="42">
        <f>IFERROR(J370*K370,"")</f>
        <v>55</v>
      </c>
      <c r="H370" s="42">
        <f>IFERROR(G370*F370,"")</f>
        <v>55</v>
      </c>
      <c r="I370" s="167"/>
      <c r="J370" s="168">
        <f t="shared" ref="J370:J376" si="140">P$1</f>
        <v>1</v>
      </c>
      <c r="K370" s="169">
        <f>IFERROR(M370*L370,"")</f>
        <v>55</v>
      </c>
      <c r="L370" s="170">
        <f>IFERROR(VLOOKUP(C370,元件库!$B:$O,10,FALSE),"1.00")</f>
        <v>1</v>
      </c>
      <c r="M370" s="171">
        <f>IFERROR(VLOOKUP(C370,元件库!$B:$O,11,FALSE),"")</f>
        <v>55</v>
      </c>
      <c r="N370" s="172" t="str">
        <f t="shared" ca="1" si="139"/>
        <v/>
      </c>
      <c r="O370" s="157"/>
      <c r="W370" s="162"/>
    </row>
    <row r="371" spans="1:23" s="175" customFormat="1" ht="16.5" customHeight="1" x14ac:dyDescent="0.2">
      <c r="A371" s="38">
        <f>COUNTIF($J$1:J371,"!")</f>
        <v>23</v>
      </c>
      <c r="B371" s="163" t="str">
        <f>IFERROR(VLOOKUP(C371,元件库!$B:$O,3,FALSE),"")</f>
        <v>温湿度控制器</v>
      </c>
      <c r="C371" s="164" t="s">
        <v>153</v>
      </c>
      <c r="D371" s="165" t="str">
        <f>IFERROR(VLOOKUP(C371,元件库!$B:$O,2,FALSE),"")</f>
        <v>实德电气</v>
      </c>
      <c r="E371" s="166" t="str">
        <f t="shared" ref="E371:E376" si="141">IF(D371="欣利铜材","米",IF(B371="氧化锌避雷器","组","只"))</f>
        <v>只</v>
      </c>
      <c r="F371" s="166">
        <v>1</v>
      </c>
      <c r="G371" s="42">
        <f t="shared" ref="G371:G376" si="142">IFERROR(J371*K371,"")</f>
        <v>110</v>
      </c>
      <c r="H371" s="42">
        <f t="shared" ref="H371:H376" si="143">IFERROR(G371*F371,"")</f>
        <v>110</v>
      </c>
      <c r="I371" s="167"/>
      <c r="J371" s="168">
        <f t="shared" si="140"/>
        <v>1</v>
      </c>
      <c r="K371" s="169">
        <f t="shared" ref="K371:K376" si="144">IFERROR(M371*L371,"")</f>
        <v>110</v>
      </c>
      <c r="L371" s="170">
        <f>IFERROR(VLOOKUP(C371,元件库!$B:$O,10,FALSE),"1.00")</f>
        <v>1</v>
      </c>
      <c r="M371" s="171">
        <f>IFERROR(VLOOKUP(C371,元件库!$B:$O,11,FALSE),"")</f>
        <v>110</v>
      </c>
      <c r="N371" s="172" t="str">
        <f t="shared" ca="1" si="139"/>
        <v/>
      </c>
      <c r="O371" s="157"/>
    </row>
    <row r="372" spans="1:23" s="175" customFormat="1" ht="16.5" customHeight="1" x14ac:dyDescent="0.2">
      <c r="A372" s="38">
        <f>COUNTIF($J$1:J372,"!")</f>
        <v>23</v>
      </c>
      <c r="B372" s="163" t="str">
        <f>IFERROR(VLOOKUP(C372,元件库!$B:$O,3,FALSE),"")</f>
        <v>加热器</v>
      </c>
      <c r="C372" s="164" t="s">
        <v>101</v>
      </c>
      <c r="D372" s="165" t="str">
        <f>IFERROR(VLOOKUP(C372,元件库!$B:$O,2,FALSE),"")</f>
        <v>实德电气</v>
      </c>
      <c r="E372" s="166" t="str">
        <f t="shared" si="141"/>
        <v>只</v>
      </c>
      <c r="F372" s="166">
        <v>2</v>
      </c>
      <c r="G372" s="42">
        <f t="shared" si="142"/>
        <v>18</v>
      </c>
      <c r="H372" s="42">
        <f t="shared" si="143"/>
        <v>36</v>
      </c>
      <c r="I372" s="167"/>
      <c r="J372" s="168">
        <f t="shared" si="140"/>
        <v>1</v>
      </c>
      <c r="K372" s="169">
        <f t="shared" si="144"/>
        <v>18</v>
      </c>
      <c r="L372" s="170">
        <f>IFERROR(VLOOKUP(C372,元件库!$B:$O,10,FALSE),"1.00")</f>
        <v>1</v>
      </c>
      <c r="M372" s="171">
        <f>IFERROR(VLOOKUP(C372,元件库!$B:$O,11,FALSE),"")</f>
        <v>18</v>
      </c>
      <c r="N372" s="172" t="str">
        <f t="shared" ca="1" si="139"/>
        <v/>
      </c>
      <c r="O372" s="157"/>
    </row>
    <row r="373" spans="1:23" s="175" customFormat="1" ht="16.5" customHeight="1" x14ac:dyDescent="0.2">
      <c r="A373" s="38">
        <f>COUNTIF($J$1:J373,"!")</f>
        <v>23</v>
      </c>
      <c r="B373" s="163" t="str">
        <f>IFERROR(VLOOKUP(C373,元件库!$B:$O,3,FALSE),"")</f>
        <v>高压热缩管</v>
      </c>
      <c r="C373" s="185" t="str">
        <f>"10KV"&amp;MID(C375,4,10)</f>
        <v>10KV-60*6</v>
      </c>
      <c r="D373" s="165" t="str">
        <f>IFERROR(VLOOKUP(C373,元件库!$B:$O,2,FALSE),"")</f>
        <v>精益联合集团</v>
      </c>
      <c r="E373" s="166" t="str">
        <f t="shared" si="141"/>
        <v>只</v>
      </c>
      <c r="F373" s="166">
        <f>ROUND(SUM(F375:F376),0)</f>
        <v>3</v>
      </c>
      <c r="G373" s="42">
        <f t="shared" si="142"/>
        <v>12</v>
      </c>
      <c r="H373" s="42">
        <f t="shared" si="143"/>
        <v>36</v>
      </c>
      <c r="I373" s="167"/>
      <c r="J373" s="168">
        <f t="shared" si="140"/>
        <v>1</v>
      </c>
      <c r="K373" s="169">
        <f t="shared" si="144"/>
        <v>12</v>
      </c>
      <c r="L373" s="170">
        <f>IFERROR(VLOOKUP(C373,元件库!$B:$O,10,FALSE),"1.00")</f>
        <v>1</v>
      </c>
      <c r="M373" s="171">
        <f>IFERROR(VLOOKUP(C373,元件库!$B:$O,11,FALSE),"")</f>
        <v>12</v>
      </c>
      <c r="N373" s="172" t="str">
        <f t="shared" ca="1" si="139"/>
        <v/>
      </c>
      <c r="O373" s="157"/>
    </row>
    <row r="374" spans="1:23" s="175" customFormat="1" ht="16.5" customHeight="1" x14ac:dyDescent="0.2">
      <c r="A374" s="38">
        <f>COUNTIF($J$1:J374,"!")</f>
        <v>23</v>
      </c>
      <c r="B374" s="163" t="str">
        <f>IFERROR(VLOOKUP(C374,元件库!$B:$O,3,FALSE),"")</f>
        <v>铜排</v>
      </c>
      <c r="C374" s="185" t="s">
        <v>1889</v>
      </c>
      <c r="D374" s="165" t="str">
        <f>IFERROR(VLOOKUP(C374,元件库!$B:$O,2,FALSE),"")</f>
        <v>欣利铜材</v>
      </c>
      <c r="E374" s="166" t="str">
        <f t="shared" si="141"/>
        <v>米</v>
      </c>
      <c r="F374" s="166">
        <v>6</v>
      </c>
      <c r="G374" s="42">
        <f t="shared" si="142"/>
        <v>182.62799999999999</v>
      </c>
      <c r="H374" s="42">
        <f t="shared" si="143"/>
        <v>1095.768</v>
      </c>
      <c r="I374" s="167"/>
      <c r="J374" s="168">
        <f t="shared" si="140"/>
        <v>1</v>
      </c>
      <c r="K374" s="169">
        <f t="shared" si="144"/>
        <v>182.62799999999999</v>
      </c>
      <c r="L374" s="170">
        <f>IFERROR(VLOOKUP(C374,元件库!$B:$O,10,FALSE),"1.00")</f>
        <v>1</v>
      </c>
      <c r="M374" s="171">
        <f>IFERROR(VLOOKUP(C374,元件库!$B:$O,11,FALSE),"")</f>
        <v>182.62799999999999</v>
      </c>
      <c r="N374" s="172" t="str">
        <f t="shared" ca="1" si="139"/>
        <v/>
      </c>
      <c r="O374" s="174" t="str">
        <f>O376</f>
        <v>HXGN-800*900*2000</v>
      </c>
    </row>
    <row r="375" spans="1:23" s="175" customFormat="1" ht="16.5" customHeight="1" x14ac:dyDescent="0.2">
      <c r="A375" s="38">
        <f>COUNTIF($J$1:J375,"!")</f>
        <v>23</v>
      </c>
      <c r="B375" s="163" t="s">
        <v>2171</v>
      </c>
      <c r="C375" s="185" t="s">
        <v>1889</v>
      </c>
      <c r="D375" s="165" t="str">
        <f>IFERROR(VLOOKUP(C375,元件库!$B:$O,2,FALSE),"")</f>
        <v>欣利铜材</v>
      </c>
      <c r="E375" s="166" t="str">
        <f t="shared" si="141"/>
        <v>米</v>
      </c>
      <c r="F375" s="166">
        <f>1*MID(O375,FIND("-",O375)+1,FIND("*",O375)-FIND("-",O375)-1)/1000*IF(B375="水平排",3,1)+IF(AND(B375="零母排",VLOOKUP(A375,A$1:B372,2,FALSE)="低压进线柜"),1.5,0)</f>
        <v>2.4000000000000004</v>
      </c>
      <c r="G375" s="42">
        <f t="shared" si="142"/>
        <v>182.62799999999999</v>
      </c>
      <c r="H375" s="42">
        <f t="shared" si="143"/>
        <v>438.30720000000002</v>
      </c>
      <c r="I375" s="167"/>
      <c r="J375" s="168">
        <f t="shared" si="140"/>
        <v>1</v>
      </c>
      <c r="K375" s="169">
        <f t="shared" si="144"/>
        <v>182.62799999999999</v>
      </c>
      <c r="L375" s="170">
        <f>IFERROR(VLOOKUP(C375,元件库!$B:$O,10,FALSE),"1.00")</f>
        <v>1</v>
      </c>
      <c r="M375" s="171">
        <f>IFERROR(VLOOKUP(C375,元件库!$B:$O,11,FALSE),"")</f>
        <v>182.62799999999999</v>
      </c>
      <c r="N375" s="172" t="str">
        <f t="shared" ca="1" si="139"/>
        <v/>
      </c>
      <c r="O375" s="174" t="str">
        <f>O378</f>
        <v>HXGN-800*900*2000</v>
      </c>
    </row>
    <row r="376" spans="1:23" s="175" customFormat="1" ht="16.5" customHeight="1" x14ac:dyDescent="0.2">
      <c r="A376" s="38">
        <f>COUNTIF($J$1:J376,"!")</f>
        <v>23</v>
      </c>
      <c r="B376" s="163" t="s">
        <v>2172</v>
      </c>
      <c r="C376" s="185" t="s">
        <v>2326</v>
      </c>
      <c r="D376" s="165" t="str">
        <f>IFERROR(VLOOKUP(C376,元件库!$B:$O,2,FALSE),"")</f>
        <v>欣利铜材</v>
      </c>
      <c r="E376" s="166" t="str">
        <f t="shared" si="141"/>
        <v>米</v>
      </c>
      <c r="F376" s="166">
        <f>1*MID(O376,FIND("-",O376)+1,FIND("*",O376)-FIND("-",O376)-1)/1000*IF(B376="水平排",3,1)+IF(AND(B376="零母排",VLOOKUP(A376,A$1:B373,2,FALSE)="低压进线柜"),1.5,0)</f>
        <v>0.8</v>
      </c>
      <c r="G376" s="42">
        <f t="shared" si="142"/>
        <v>81.167999999999992</v>
      </c>
      <c r="H376" s="42">
        <f t="shared" si="143"/>
        <v>64.934399999999997</v>
      </c>
      <c r="I376" s="167"/>
      <c r="J376" s="168">
        <f t="shared" si="140"/>
        <v>1</v>
      </c>
      <c r="K376" s="169">
        <f t="shared" si="144"/>
        <v>81.167999999999992</v>
      </c>
      <c r="L376" s="170">
        <f>IFERROR(VLOOKUP(C376,元件库!$B:$O,10,FALSE),"1.00")</f>
        <v>1</v>
      </c>
      <c r="M376" s="171">
        <f>IFERROR(VLOOKUP(C376,元件库!$B:$O,11,FALSE),"")</f>
        <v>81.167999999999992</v>
      </c>
      <c r="N376" s="172" t="str">
        <f t="shared" ca="1" si="139"/>
        <v/>
      </c>
      <c r="O376" s="174" t="str">
        <f>O379</f>
        <v>HXGN-800*900*2000</v>
      </c>
    </row>
    <row r="377" spans="1:23" s="162" customFormat="1" ht="16.5" customHeight="1" x14ac:dyDescent="0.2">
      <c r="A377" s="38">
        <f>COUNTIF($J$1:J377,"!")</f>
        <v>23</v>
      </c>
      <c r="B377" s="177" t="s">
        <v>107</v>
      </c>
      <c r="C377" s="164"/>
      <c r="D377" s="166"/>
      <c r="E377" s="166"/>
      <c r="F377" s="166"/>
      <c r="G377" s="42"/>
      <c r="H377" s="42"/>
      <c r="I377" s="178">
        <f>SUM(H363:H377)</f>
        <v>4383.0096000000003</v>
      </c>
      <c r="J377" s="168"/>
      <c r="K377" s="169"/>
      <c r="L377" s="170"/>
      <c r="M377" s="171"/>
      <c r="O377" s="161"/>
      <c r="P377" s="157"/>
    </row>
    <row r="378" spans="1:23" ht="16.5" customHeight="1" x14ac:dyDescent="0.2">
      <c r="A378" s="38">
        <f>COUNTIF($J$1:J378,"!")</f>
        <v>23</v>
      </c>
      <c r="B378" s="179" t="s">
        <v>47</v>
      </c>
      <c r="C378" s="164"/>
      <c r="D378" s="166"/>
      <c r="E378" s="166"/>
      <c r="F378" s="166"/>
      <c r="G378" s="42"/>
      <c r="H378" s="42">
        <f>IFERROR(J378*M378*L378,"")</f>
        <v>800</v>
      </c>
      <c r="I378" s="167"/>
      <c r="J378" s="168">
        <f>P$1</f>
        <v>1</v>
      </c>
      <c r="K378" s="169">
        <f>IFERROR(M378*L378,"")</f>
        <v>800</v>
      </c>
      <c r="L378" s="170" t="str">
        <f>IFERROR(VLOOKUP(C378,元件库!$B:$O,10,FALSE),"1.00")</f>
        <v>1.00</v>
      </c>
      <c r="M378" s="171">
        <f>IF(ISNUMBER(FIND("提升",VLOOKUP(A378,A$1:B377,2,FALSE))),IF(B378="成套费",400,200),IF(OR(ISNUMBER(FIND("XGN",O378)),ISNUMBER(FIND("HXGN",O378))),IF(B378="成套费",800,600),IF(ISNUMBER(FIND("KYN28",O378)),IF(B378="成套费",900,700),"")))</f>
        <v>800</v>
      </c>
      <c r="O378" s="180" t="str">
        <f>C363</f>
        <v>HXGN-800*900*2000</v>
      </c>
      <c r="P378" s="162"/>
      <c r="R378" s="157"/>
      <c r="S378" s="157"/>
    </row>
    <row r="379" spans="1:23" s="161" customFormat="1" ht="16.5" customHeight="1" x14ac:dyDescent="0.2">
      <c r="A379" s="38">
        <f>COUNTIF($J$1:J379,"!")</f>
        <v>23</v>
      </c>
      <c r="B379" s="179" t="s">
        <v>49</v>
      </c>
      <c r="C379" s="164"/>
      <c r="D379" s="166"/>
      <c r="E379" s="166"/>
      <c r="F379" s="166"/>
      <c r="G379" s="42"/>
      <c r="H379" s="42">
        <f>IFERROR(J379*M379*L379,"")</f>
        <v>600</v>
      </c>
      <c r="I379" s="167"/>
      <c r="J379" s="168">
        <f>P$1</f>
        <v>1</v>
      </c>
      <c r="K379" s="169">
        <f>IFERROR(M379*L379,"")</f>
        <v>600</v>
      </c>
      <c r="L379" s="170" t="str">
        <f>IFERROR(VLOOKUP(C379,元件库!$B:$O,10,FALSE),"1.00")</f>
        <v>1.00</v>
      </c>
      <c r="M379" s="171">
        <f>IF(ISNUMBER(FIND("提升",VLOOKUP(A379,A$1:B378,2,FALSE))),IF(B379="成套费",400,200),IF(OR(ISNUMBER(FIND("XGN",O379)),ISNUMBER(FIND("HXGN",O379))),IF(B379="成套费",800,600),IF(ISNUMBER(FIND("KYN28",O379)),IF(B379="成套费",900,700),"")))</f>
        <v>600</v>
      </c>
      <c r="O379" s="174" t="str">
        <f>O378</f>
        <v>HXGN-800*900*2000</v>
      </c>
      <c r="P379" s="162"/>
      <c r="Q379" s="162"/>
    </row>
    <row r="380" spans="1:23" s="161" customFormat="1" ht="16.5" customHeight="1" x14ac:dyDescent="0.2">
      <c r="A380" s="38">
        <f>COUNTIF($J$1:J380,"!")</f>
        <v>23</v>
      </c>
      <c r="B380" s="179" t="s">
        <v>79</v>
      </c>
      <c r="C380" s="164"/>
      <c r="D380" s="166"/>
      <c r="E380" s="166"/>
      <c r="F380" s="166"/>
      <c r="G380" s="42"/>
      <c r="H380" s="42">
        <f>K380*L380</f>
        <v>693.96115199999997</v>
      </c>
      <c r="I380" s="167"/>
      <c r="J380" s="168"/>
      <c r="K380" s="169">
        <f>SUM(H378:H379)+I377</f>
        <v>5783.0096000000003</v>
      </c>
      <c r="L380" s="279">
        <f>R$1</f>
        <v>0.12</v>
      </c>
      <c r="M380" s="171"/>
      <c r="O380" s="181"/>
      <c r="P380" s="162"/>
      <c r="Q380" s="162"/>
    </row>
    <row r="381" spans="1:23" ht="16.5" customHeight="1" x14ac:dyDescent="0.2">
      <c r="A381" s="38">
        <f>COUNTIF($J$1:J381,"!")</f>
        <v>23</v>
      </c>
      <c r="B381" s="179" t="s">
        <v>108</v>
      </c>
      <c r="C381" s="164"/>
      <c r="D381" s="166"/>
      <c r="E381" s="166"/>
      <c r="F381" s="166"/>
      <c r="G381" s="184"/>
      <c r="H381" s="42">
        <f>K381*L381</f>
        <v>194.30912255999999</v>
      </c>
      <c r="I381" s="167"/>
      <c r="J381" s="168"/>
      <c r="K381" s="169">
        <f>H380+K380</f>
        <v>6476.9707520000002</v>
      </c>
      <c r="L381" s="279">
        <f>T$1</f>
        <v>0.03</v>
      </c>
      <c r="M381" s="171"/>
      <c r="O381" s="161"/>
      <c r="P381" s="162"/>
      <c r="R381" s="157"/>
      <c r="S381" s="157"/>
    </row>
    <row r="382" spans="1:23" ht="16.5" customHeight="1" x14ac:dyDescent="0.15">
      <c r="A382" s="32">
        <f>COUNTIF($J$1:J382,"!")</f>
        <v>24</v>
      </c>
      <c r="B382" s="33" t="str">
        <f>IF(MID(H382,1,3)="SCB","干式","油式")&amp;B383</f>
        <v>干式变压器</v>
      </c>
      <c r="C382" s="158" t="s">
        <v>179</v>
      </c>
      <c r="D382" s="159" t="s">
        <v>3154</v>
      </c>
      <c r="E382" s="34" t="s">
        <v>23</v>
      </c>
      <c r="F382" s="159">
        <v>1</v>
      </c>
      <c r="G382" s="36">
        <f>ROUND(SUM(H383:H386),0)</f>
        <v>38285</v>
      </c>
      <c r="H382" s="160" t="str">
        <f>IF(ISNUMBER(FIND("M",C383)),MID(C383,1,FIND(" ",C383)-1),MID(C383,1,FIND(" ",C383)-1))</f>
        <v>SCB11-630KVA</v>
      </c>
      <c r="I382" s="47" t="str">
        <f>MID(C383,LEN(H382)+2,30)</f>
        <v>全铝</v>
      </c>
      <c r="J382" s="48" t="s">
        <v>24</v>
      </c>
      <c r="K382" s="49"/>
      <c r="L382" s="50"/>
      <c r="M382" s="51"/>
      <c r="N382" s="161" t="str">
        <f>IF(ISNUMBER(FIND("M",C383)),MID(C383,FIND("M",C383)+2,FIND(" ",C383)-FIND("M",C383)-1),MID(C383,FIND("-",C383)+1,FIND(" ",C383)-FIND("-",C383)))</f>
        <v xml:space="preserve">630KVA </v>
      </c>
      <c r="O382" s="297"/>
    </row>
    <row r="383" spans="1:23" ht="16.5" customHeight="1" x14ac:dyDescent="0.2">
      <c r="A383" s="38">
        <f>COUNTIF($J$1:J383,"!")</f>
        <v>24</v>
      </c>
      <c r="B383" s="163" t="str">
        <f>IFERROR(VLOOKUP(C383,元件库!$B:$O,3,FALSE),"")</f>
        <v>变压器</v>
      </c>
      <c r="C383" s="298" t="s">
        <v>3124</v>
      </c>
      <c r="D383" s="165">
        <f>IFERROR(VLOOKUP(C383,元件库!$B:$O,2,FALSE),"")</f>
        <v>0</v>
      </c>
      <c r="E383" s="166" t="s">
        <v>29</v>
      </c>
      <c r="F383" s="166">
        <v>1</v>
      </c>
      <c r="G383" s="42">
        <f>IFERROR(J383*K383,"")</f>
        <v>38285</v>
      </c>
      <c r="H383" s="42">
        <f>IFERROR(G383*F383,"")</f>
        <v>38285</v>
      </c>
      <c r="I383" s="167"/>
      <c r="J383" s="168">
        <f>P$1</f>
        <v>1</v>
      </c>
      <c r="K383" s="169">
        <f>IFERROR(M383*L383,"")</f>
        <v>38285</v>
      </c>
      <c r="L383" s="170">
        <v>0.95</v>
      </c>
      <c r="M383" s="171">
        <f>IFERROR(VLOOKUP(C383,元件库!$B:$O,11,FALSE),"")</f>
        <v>40300</v>
      </c>
      <c r="N383" s="172" t="str">
        <f ca="1">IF(ISNUMBER(FIND("IF",_xlfn.FORMULATEXT(M383))),"","值")</f>
        <v/>
      </c>
      <c r="O383" s="174"/>
      <c r="P383" s="161" t="str">
        <f>IFERROR(((MID(C383,FIND(" ",C383)+1,FIND("*",C383)-FIND(" ",C383)-1)*MID(C383,FIND("*",C383)+1,FIND("*",MID(C383,FIND("*",C383)+1,30))-1))+(MID(C383,FIND(" ",C383)+1,FIND("*",C383)-FIND(" ",C383)-1)*MID(C383,FIND("*",C383)+1+FIND("*",MID(C383,FIND("*",C383)+1,30)),30))+(MID(C383,FIND("*",C383)+1,FIND("*",MID(C383,FIND("*",C383)+1,30))-1)*MID(C383,FIND("*",C383)+1+FIND("*",MID(C383,FIND("*",C383)+1,30)),30)))/500000+IFERROR(IF(ROUND(MID(C383,FIND("*",C383)+FIND("*",MID(C383,FIND("*",C383)+1,30))+1,10),0)&gt;=350,(MID(C383,FIND(" ",C383)+1,FIND("*",C383)-FIND(" ",C383)-1)*MID(C383,FIND("*",C383)+1,FIND("*",MID(C383,FIND("*",C383)+1,30))-1))/2000000,(MID(C383,FIND(" ",C383)+1,FIND("*",C383)-FIND(" ",C383)-1)*MID(C383,FIND("*",C383)+1,FIND("*",MID(C383,FIND("*",C383)+1,30))-1))/1000000),""),"")</f>
        <v/>
      </c>
      <c r="Q383" s="157"/>
    </row>
    <row r="384" spans="1:23" ht="16.5" customHeight="1" x14ac:dyDescent="0.2">
      <c r="A384" s="38">
        <f>COUNTIF($J$1:J384,"!")</f>
        <v>24</v>
      </c>
      <c r="B384" s="177" t="s">
        <v>107</v>
      </c>
      <c r="C384" s="164"/>
      <c r="D384" s="166"/>
      <c r="E384" s="166"/>
      <c r="F384" s="166"/>
      <c r="G384" s="42"/>
      <c r="H384" s="42"/>
      <c r="I384" s="178">
        <f>SUM(H383:H384)</f>
        <v>38285</v>
      </c>
      <c r="J384" s="168"/>
      <c r="K384" s="169"/>
      <c r="L384" s="170"/>
      <c r="M384" s="171"/>
      <c r="O384" s="174"/>
      <c r="P384" s="162"/>
      <c r="Q384" s="157"/>
    </row>
    <row r="385" spans="1:19" s="161" customFormat="1" ht="16.5" customHeight="1" x14ac:dyDescent="0.2">
      <c r="A385" s="38">
        <f>COUNTIF($J$1:J385,"!")</f>
        <v>24</v>
      </c>
      <c r="B385" s="179" t="s">
        <v>79</v>
      </c>
      <c r="C385" s="164"/>
      <c r="D385" s="166"/>
      <c r="E385" s="166"/>
      <c r="F385" s="166"/>
      <c r="G385" s="42"/>
      <c r="H385" s="42">
        <f>K385*L385</f>
        <v>0</v>
      </c>
      <c r="I385" s="167"/>
      <c r="J385" s="168"/>
      <c r="K385" s="169">
        <f>I384</f>
        <v>38285</v>
      </c>
      <c r="L385" s="279"/>
      <c r="M385" s="171"/>
      <c r="O385" s="181"/>
      <c r="P385" s="162"/>
      <c r="Q385" s="162"/>
    </row>
    <row r="386" spans="1:19" ht="16.5" customHeight="1" x14ac:dyDescent="0.2">
      <c r="A386" s="38">
        <f>COUNTIF($J$1:J386,"!")</f>
        <v>24</v>
      </c>
      <c r="B386" s="179" t="s">
        <v>108</v>
      </c>
      <c r="C386" s="164"/>
      <c r="D386" s="166"/>
      <c r="E386" s="166"/>
      <c r="F386" s="166"/>
      <c r="G386" s="184"/>
      <c r="H386" s="42">
        <f>K386*L386</f>
        <v>0</v>
      </c>
      <c r="I386" s="167"/>
      <c r="J386" s="168"/>
      <c r="K386" s="169">
        <f>H385+K385</f>
        <v>38285</v>
      </c>
      <c r="L386" s="299"/>
      <c r="M386" s="171"/>
      <c r="O386" s="161"/>
      <c r="P386" s="162"/>
      <c r="R386" s="157"/>
      <c r="S386" s="157"/>
    </row>
    <row r="387" spans="1:19" ht="16.5" customHeight="1" x14ac:dyDescent="0.15">
      <c r="A387" s="32">
        <f>COUNTIF($J$1:J387,"!")</f>
        <v>25</v>
      </c>
      <c r="B387" s="33" t="s">
        <v>3042</v>
      </c>
      <c r="C387" s="158" t="s">
        <v>3156</v>
      </c>
      <c r="D387" s="159" t="s">
        <v>3154</v>
      </c>
      <c r="E387" s="34" t="s">
        <v>23</v>
      </c>
      <c r="F387" s="159">
        <v>1</v>
      </c>
      <c r="G387" s="36">
        <f>ROUND(SUM(H388:H404),0)</f>
        <v>14823</v>
      </c>
      <c r="H387" s="160" t="str">
        <f>IF(ISNUMBER(FIND(" ",C388)),MID(C388,1,FIND(" ",C388)-1),IF(ISNUMBER(FIND("电容柜",B387)),"GGJ",MID(C388,1,FIND("-",C388)-1)))</f>
        <v>GGD</v>
      </c>
      <c r="I387" s="47" t="str">
        <f>MID(C388,IF(LEN(C388)-LEN(H387)&gt;3,LEN(H387)+2,1),30)</f>
        <v>800*600*2000</v>
      </c>
      <c r="J387" s="48" t="s">
        <v>24</v>
      </c>
      <c r="K387" s="49"/>
      <c r="L387" s="50"/>
      <c r="M387" s="51"/>
      <c r="O387" s="162"/>
    </row>
    <row r="388" spans="1:19" ht="16.5" customHeight="1" x14ac:dyDescent="0.2">
      <c r="A388" s="38">
        <f>COUNTIF($J$1:J388,"!")</f>
        <v>25</v>
      </c>
      <c r="B388" s="163" t="str">
        <f>IFERROR(VLOOKUP(C388,元件库!$B:$O,3,FALSE),"")</f>
        <v>壳体W*D*H</v>
      </c>
      <c r="C388" s="164" t="s">
        <v>2337</v>
      </c>
      <c r="D388" s="165" t="str">
        <f>IFERROR(VLOOKUP(C388,元件库!$B:$O,2,FALSE),"")</f>
        <v>精益联合集团</v>
      </c>
      <c r="E388" s="166" t="str">
        <f t="shared" ref="E388:E399" si="145">IF(D388="欣利铜材","米",IF(B388="熔断器","套","只"))</f>
        <v>只</v>
      </c>
      <c r="F388" s="166">
        <v>1</v>
      </c>
      <c r="G388" s="42">
        <f t="shared" ref="G388:G399" si="146">IFERROR(J388*K388,"")</f>
        <v>1782.4999999999998</v>
      </c>
      <c r="H388" s="42">
        <f t="shared" ref="H388:H399" si="147">IFERROR(G388*F388,"")</f>
        <v>1782.4999999999998</v>
      </c>
      <c r="I388" s="167"/>
      <c r="J388" s="168">
        <f>P$1</f>
        <v>1</v>
      </c>
      <c r="K388" s="169">
        <f t="shared" ref="K388:K399" si="148">IFERROR(M388*L388,"")</f>
        <v>1782.4999999999998</v>
      </c>
      <c r="L388" s="170">
        <v>1.1499999999999999</v>
      </c>
      <c r="M388" s="171">
        <f>IFERROR(VLOOKUP(C388,元件库!$B:$O,11,FALSE),"")</f>
        <v>1550</v>
      </c>
      <c r="N388" s="172" t="str">
        <f t="shared" ref="N388:N399" ca="1" si="149">IF(AND(ISNUMBER(FIND("IF",_xlfn.FORMULATEXT(L388))),ISNUMBER(FIND("IF",_xlfn.FORMULATEXT(M388)))),"","值")</f>
        <v>值</v>
      </c>
      <c r="O388" s="157" t="str">
        <f>B387</f>
        <v>低压进线柜</v>
      </c>
    </row>
    <row r="389" spans="1:19" s="173" customFormat="1" ht="16.5" customHeight="1" x14ac:dyDescent="0.2">
      <c r="A389" s="38">
        <f>COUNTIF($J$1:J389,"!")</f>
        <v>25</v>
      </c>
      <c r="B389" s="163" t="str">
        <f>IFERROR(VLOOKUP(C389,元件库!$B:$O,3,FALSE),"")</f>
        <v/>
      </c>
      <c r="C389" s="164" t="s">
        <v>3043</v>
      </c>
      <c r="D389" s="165" t="str">
        <f>IFERROR(VLOOKUP(C389,元件库!$B:$O,2,FALSE),"")</f>
        <v/>
      </c>
      <c r="E389" s="166" t="str">
        <f t="shared" si="145"/>
        <v>只</v>
      </c>
      <c r="F389" s="166">
        <v>3</v>
      </c>
      <c r="G389" s="42" t="str">
        <f t="shared" si="146"/>
        <v/>
      </c>
      <c r="H389" s="42" t="str">
        <f t="shared" si="147"/>
        <v/>
      </c>
      <c r="I389" s="167"/>
      <c r="J389" s="168">
        <f t="shared" ref="J389:J399" si="150">P$1</f>
        <v>1</v>
      </c>
      <c r="K389" s="169" t="str">
        <f t="shared" si="148"/>
        <v/>
      </c>
      <c r="L389" s="170" t="str">
        <f>IFERROR(VLOOKUP(C389,元件库!$B:$O,10,FALSE),"1.00")</f>
        <v>1.00</v>
      </c>
      <c r="M389" s="171" t="str">
        <f>IFERROR(VLOOKUP(C389,元件库!$B:$O,11,FALSE),"")</f>
        <v/>
      </c>
      <c r="N389" s="172" t="str">
        <f t="shared" ca="1" si="149"/>
        <v/>
      </c>
      <c r="P389" s="161"/>
    </row>
    <row r="390" spans="1:19" s="173" customFormat="1" ht="16.5" customHeight="1" x14ac:dyDescent="0.2">
      <c r="A390" s="38">
        <f>COUNTIF($J$1:J390,"!")</f>
        <v>25</v>
      </c>
      <c r="B390" s="163" t="str">
        <f>IFERROR(VLOOKUP(C390,元件库!$B:$O,3,FALSE),"")</f>
        <v>刀开关</v>
      </c>
      <c r="C390" s="164" t="s">
        <v>3050</v>
      </c>
      <c r="D390" s="165" t="str">
        <f>IFERROR(VLOOKUP(C390,元件库!$B:$O,2,FALSE),"")</f>
        <v>精益联合集团</v>
      </c>
      <c r="E390" s="166" t="str">
        <f t="shared" si="145"/>
        <v>只</v>
      </c>
      <c r="F390" s="166">
        <v>1</v>
      </c>
      <c r="G390" s="42">
        <f t="shared" si="146"/>
        <v>929.50000000000011</v>
      </c>
      <c r="H390" s="42">
        <f t="shared" si="147"/>
        <v>929.50000000000011</v>
      </c>
      <c r="I390" s="167"/>
      <c r="J390" s="168">
        <f t="shared" si="150"/>
        <v>1</v>
      </c>
      <c r="K390" s="169">
        <f t="shared" si="148"/>
        <v>929.50000000000011</v>
      </c>
      <c r="L390" s="170">
        <f>IFERROR(VLOOKUP(C390,元件库!$B:$O,10,FALSE),"1.00")</f>
        <v>0.55000000000000004</v>
      </c>
      <c r="M390" s="171">
        <f>IFERROR(VLOOKUP(C390,元件库!$B:$O,11,FALSE),"")</f>
        <v>1690</v>
      </c>
      <c r="N390" s="172" t="str">
        <f t="shared" ca="1" si="149"/>
        <v/>
      </c>
      <c r="P390" s="161"/>
    </row>
    <row r="391" spans="1:19" s="173" customFormat="1" ht="16.5" customHeight="1" x14ac:dyDescent="0.2">
      <c r="A391" s="38">
        <f>COUNTIF($J$1:J391,"!")</f>
        <v>25</v>
      </c>
      <c r="B391" s="163" t="str">
        <f>IFERROR(VLOOKUP(C391,元件库!$B:$O,3,FALSE),"")</f>
        <v>框架断路器</v>
      </c>
      <c r="C391" s="164" t="s">
        <v>3126</v>
      </c>
      <c r="D391" s="165" t="str">
        <f>IFERROR(VLOOKUP(C391,元件库!$B:$O,2,FALSE),"")</f>
        <v>吉坤电气</v>
      </c>
      <c r="E391" s="166" t="str">
        <f t="shared" si="145"/>
        <v>只</v>
      </c>
      <c r="F391" s="166">
        <v>1</v>
      </c>
      <c r="G391" s="42">
        <f t="shared" si="146"/>
        <v>4305</v>
      </c>
      <c r="H391" s="42">
        <f t="shared" si="147"/>
        <v>4305</v>
      </c>
      <c r="I391" s="167"/>
      <c r="J391" s="168">
        <f t="shared" si="150"/>
        <v>1</v>
      </c>
      <c r="K391" s="169">
        <f t="shared" si="148"/>
        <v>4305</v>
      </c>
      <c r="L391" s="170">
        <f>IFERROR(VLOOKUP(C391,元件库!$B:$O,10,FALSE),"1.00")</f>
        <v>1</v>
      </c>
      <c r="M391" s="171">
        <f>IFERROR(VLOOKUP(C391,元件库!$B:$O,11,FALSE),"")</f>
        <v>4305</v>
      </c>
      <c r="N391" s="172" t="str">
        <f t="shared" ca="1" si="149"/>
        <v/>
      </c>
      <c r="P391" s="161"/>
    </row>
    <row r="392" spans="1:19" s="173" customFormat="1" ht="16.5" customHeight="1" x14ac:dyDescent="0.2">
      <c r="A392" s="38">
        <f>COUNTIF($J$1:J392,"!")</f>
        <v>25</v>
      </c>
      <c r="B392" s="163" t="str">
        <f>IFERROR(VLOOKUP(C392,元件库!$B:$O,3,FALSE),"")</f>
        <v/>
      </c>
      <c r="C392" s="164" t="s">
        <v>2829</v>
      </c>
      <c r="D392" s="165" t="str">
        <f>IFERROR(VLOOKUP(C392,元件库!$B:$O,2,FALSE),"")</f>
        <v/>
      </c>
      <c r="E392" s="166" t="str">
        <f t="shared" si="145"/>
        <v>只</v>
      </c>
      <c r="F392" s="166">
        <v>3</v>
      </c>
      <c r="G392" s="42" t="str">
        <f t="shared" si="146"/>
        <v/>
      </c>
      <c r="H392" s="42" t="str">
        <f t="shared" si="147"/>
        <v/>
      </c>
      <c r="I392" s="167"/>
      <c r="J392" s="168">
        <f t="shared" si="150"/>
        <v>1</v>
      </c>
      <c r="K392" s="169" t="str">
        <f t="shared" si="148"/>
        <v/>
      </c>
      <c r="L392" s="170" t="str">
        <f>IFERROR(VLOOKUP(C392,元件库!$B:$O,10,FALSE),"1.00")</f>
        <v>1.00</v>
      </c>
      <c r="M392" s="171" t="str">
        <f>IFERROR(VLOOKUP(C392,元件库!$B:$O,11,FALSE),"")</f>
        <v/>
      </c>
      <c r="N392" s="172" t="str">
        <f t="shared" ca="1" si="149"/>
        <v/>
      </c>
      <c r="P392" s="161"/>
    </row>
    <row r="393" spans="1:19" s="173" customFormat="1" ht="16.5" customHeight="1" x14ac:dyDescent="0.2">
      <c r="A393" s="38">
        <f>COUNTIF($J$1:J393,"!")</f>
        <v>25</v>
      </c>
      <c r="B393" s="163" t="str">
        <f>IFERROR(VLOOKUP(C393,元件库!$B:$O,3,FALSE),"")</f>
        <v>电流.电压表</v>
      </c>
      <c r="C393" s="164" t="s">
        <v>1899</v>
      </c>
      <c r="D393" s="165" t="str">
        <f>IFERROR(VLOOKUP(C393,元件库!$B:$O,2,FALSE),"")</f>
        <v>精益联合集团</v>
      </c>
      <c r="E393" s="166" t="str">
        <f t="shared" si="145"/>
        <v>只</v>
      </c>
      <c r="F393" s="166">
        <v>6</v>
      </c>
      <c r="G393" s="42">
        <f t="shared" si="146"/>
        <v>13.750000000000002</v>
      </c>
      <c r="H393" s="42">
        <f t="shared" si="147"/>
        <v>82.500000000000014</v>
      </c>
      <c r="I393" s="167"/>
      <c r="J393" s="168">
        <f t="shared" si="150"/>
        <v>1</v>
      </c>
      <c r="K393" s="169">
        <f t="shared" si="148"/>
        <v>13.750000000000002</v>
      </c>
      <c r="L393" s="170">
        <f>IFERROR(VLOOKUP(C393,元件库!$B:$O,10,FALSE),"1.00")</f>
        <v>0.55000000000000004</v>
      </c>
      <c r="M393" s="171">
        <f>IFERROR(VLOOKUP(C393,元件库!$B:$O,11,FALSE),"")</f>
        <v>25</v>
      </c>
      <c r="N393" s="172" t="str">
        <f t="shared" ca="1" si="149"/>
        <v/>
      </c>
      <c r="P393" s="161"/>
    </row>
    <row r="394" spans="1:19" s="173" customFormat="1" ht="16.5" customHeight="1" x14ac:dyDescent="0.2">
      <c r="A394" s="38">
        <f>COUNTIF($J$1:J394,"!")</f>
        <v>25</v>
      </c>
      <c r="B394" s="163" t="str">
        <f>IFERROR(VLOOKUP(C394,元件库!$B:$O,3,FALSE),"")</f>
        <v>指示灯</v>
      </c>
      <c r="C394" s="164" t="s">
        <v>3044</v>
      </c>
      <c r="D394" s="165" t="str">
        <f>IFERROR(VLOOKUP(C394,元件库!$B:$O,2,FALSE),"")</f>
        <v>精益联合集团</v>
      </c>
      <c r="E394" s="166" t="str">
        <f t="shared" si="145"/>
        <v>只</v>
      </c>
      <c r="F394" s="166">
        <v>3</v>
      </c>
      <c r="G394" s="42">
        <f t="shared" si="146"/>
        <v>2.3100000000000005</v>
      </c>
      <c r="H394" s="42">
        <f t="shared" si="147"/>
        <v>6.9300000000000015</v>
      </c>
      <c r="I394" s="167"/>
      <c r="J394" s="168">
        <f t="shared" si="150"/>
        <v>1</v>
      </c>
      <c r="K394" s="169">
        <f t="shared" si="148"/>
        <v>2.3100000000000005</v>
      </c>
      <c r="L394" s="170">
        <f>IFERROR(VLOOKUP(C394,元件库!$B:$O,10,FALSE),"1.00")</f>
        <v>0.55000000000000004</v>
      </c>
      <c r="M394" s="171">
        <f>IFERROR(VLOOKUP(C394,元件库!$B:$O,11,FALSE),"")</f>
        <v>4.2</v>
      </c>
      <c r="N394" s="172" t="str">
        <f t="shared" ca="1" si="149"/>
        <v/>
      </c>
      <c r="P394" s="161"/>
    </row>
    <row r="395" spans="1:19" s="173" customFormat="1" ht="16.5" customHeight="1" x14ac:dyDescent="0.2">
      <c r="A395" s="38">
        <f>COUNTIF($J$1:J395,"!")</f>
        <v>25</v>
      </c>
      <c r="B395" s="163" t="str">
        <f>IFERROR(VLOOKUP(C395,元件库!$B:$O,3,FALSE),"")</f>
        <v/>
      </c>
      <c r="C395" s="164" t="s">
        <v>3045</v>
      </c>
      <c r="D395" s="165" t="str">
        <f>IFERROR(VLOOKUP(C395,元件库!$B:$O,2,FALSE),"")</f>
        <v/>
      </c>
      <c r="E395" s="166" t="str">
        <f t="shared" si="145"/>
        <v>只</v>
      </c>
      <c r="F395" s="166">
        <v>2</v>
      </c>
      <c r="G395" s="42" t="str">
        <f t="shared" si="146"/>
        <v/>
      </c>
      <c r="H395" s="42" t="str">
        <f t="shared" si="147"/>
        <v/>
      </c>
      <c r="I395" s="167"/>
      <c r="J395" s="168">
        <f t="shared" si="150"/>
        <v>1</v>
      </c>
      <c r="K395" s="169" t="str">
        <f t="shared" si="148"/>
        <v/>
      </c>
      <c r="L395" s="170" t="str">
        <f>IFERROR(VLOOKUP(C395,元件库!$B:$O,10,FALSE),"1.00")</f>
        <v>1.00</v>
      </c>
      <c r="M395" s="171" t="str">
        <f>IFERROR(VLOOKUP(C395,元件库!$B:$O,11,FALSE),"")</f>
        <v/>
      </c>
      <c r="N395" s="172" t="str">
        <f t="shared" ca="1" si="149"/>
        <v/>
      </c>
      <c r="P395" s="161"/>
    </row>
    <row r="396" spans="1:19" s="173" customFormat="1" ht="16.5" customHeight="1" x14ac:dyDescent="0.2">
      <c r="A396" s="38">
        <f>COUNTIF($J$1:J396,"!")</f>
        <v>25</v>
      </c>
      <c r="B396" s="163" t="str">
        <f>IFERROR(VLOOKUP(C396,元件库!$B:$O,3,FALSE),"")</f>
        <v>铜排</v>
      </c>
      <c r="C396" s="164" t="s">
        <v>2225</v>
      </c>
      <c r="D396" s="165" t="str">
        <f>IFERROR(VLOOKUP(C396,元件库!$B:$O,2,FALSE),"")</f>
        <v>欣利铜材</v>
      </c>
      <c r="E396" s="166" t="str">
        <f t="shared" si="145"/>
        <v>米</v>
      </c>
      <c r="F396" s="166">
        <v>11</v>
      </c>
      <c r="G396" s="42">
        <f t="shared" si="146"/>
        <v>324.67199999999997</v>
      </c>
      <c r="H396" s="42">
        <f t="shared" si="147"/>
        <v>3571.3919999999998</v>
      </c>
      <c r="I396" s="167"/>
      <c r="J396" s="168">
        <f t="shared" si="150"/>
        <v>1</v>
      </c>
      <c r="K396" s="169">
        <f t="shared" si="148"/>
        <v>324.67199999999997</v>
      </c>
      <c r="L396" s="170">
        <f>IFERROR(VLOOKUP(C396,元件库!$B:$O,10,FALSE),"1.00")</f>
        <v>1</v>
      </c>
      <c r="M396" s="171">
        <f>IFERROR(VLOOKUP(C396,元件库!$B:$O,11,FALSE),"")</f>
        <v>324.67199999999997</v>
      </c>
      <c r="N396" s="172" t="str">
        <f t="shared" ca="1" si="149"/>
        <v/>
      </c>
      <c r="P396" s="161"/>
    </row>
    <row r="397" spans="1:19" s="175" customFormat="1" ht="16.5" customHeight="1" x14ac:dyDescent="0.2">
      <c r="A397" s="38">
        <f>COUNTIF($J$1:J397,"!")</f>
        <v>25</v>
      </c>
      <c r="B397" s="163" t="s">
        <v>2171</v>
      </c>
      <c r="C397" s="164" t="s">
        <v>2225</v>
      </c>
      <c r="D397" s="165" t="str">
        <f>IFERROR(VLOOKUP(C397,元件库!$B:$O,2,FALSE),"")</f>
        <v>欣利铜材</v>
      </c>
      <c r="E397" s="166" t="str">
        <f t="shared" si="145"/>
        <v>米</v>
      </c>
      <c r="F397" s="166">
        <f>1*(MID(O397,FIND("-",O397)+1,FIND("*",O397)-FIND("-",O397)-1)/1000*IF(B397="水平排",3,1))</f>
        <v>2.4000000000000004</v>
      </c>
      <c r="G397" s="42">
        <f t="shared" si="146"/>
        <v>324.67199999999997</v>
      </c>
      <c r="H397" s="42">
        <f t="shared" si="147"/>
        <v>779.21280000000002</v>
      </c>
      <c r="I397" s="167"/>
      <c r="J397" s="168">
        <f t="shared" si="150"/>
        <v>1</v>
      </c>
      <c r="K397" s="169">
        <f t="shared" si="148"/>
        <v>324.67199999999997</v>
      </c>
      <c r="L397" s="170">
        <f>IFERROR(VLOOKUP(C397,元件库!$B:$O,10,FALSE),"1.00")</f>
        <v>1</v>
      </c>
      <c r="M397" s="171">
        <f>IFERROR(VLOOKUP(C397,元件库!$B:$O,11,FALSE),"")</f>
        <v>324.67199999999997</v>
      </c>
      <c r="N397" s="172" t="str">
        <f t="shared" ca="1" si="149"/>
        <v/>
      </c>
      <c r="O397" s="174" t="str">
        <f>O401</f>
        <v>GGD-800*600*2000</v>
      </c>
    </row>
    <row r="398" spans="1:19" s="175" customFormat="1" ht="16.5" customHeight="1" x14ac:dyDescent="0.2">
      <c r="A398" s="38">
        <f>COUNTIF($J$1:J398,"!")</f>
        <v>25</v>
      </c>
      <c r="B398" s="163" t="s">
        <v>2725</v>
      </c>
      <c r="C398" s="164" t="s">
        <v>1889</v>
      </c>
      <c r="D398" s="165" t="str">
        <f>IFERROR(VLOOKUP(C398,元件库!$B:$O,2,FALSE),"")</f>
        <v>欣利铜材</v>
      </c>
      <c r="E398" s="166" t="str">
        <f t="shared" si="145"/>
        <v>米</v>
      </c>
      <c r="F398" s="166">
        <f>1*(MID(O398,FIND("-",O398)+1,FIND("*",O398)-FIND("-",O398)-1)/1000*IF(B398="水平排",3,1))</f>
        <v>0.8</v>
      </c>
      <c r="G398" s="42">
        <f t="shared" si="146"/>
        <v>182.62799999999999</v>
      </c>
      <c r="H398" s="42">
        <f t="shared" si="147"/>
        <v>146.10239999999999</v>
      </c>
      <c r="I398" s="167"/>
      <c r="J398" s="168">
        <f t="shared" si="150"/>
        <v>1</v>
      </c>
      <c r="K398" s="169">
        <f t="shared" si="148"/>
        <v>182.62799999999999</v>
      </c>
      <c r="L398" s="170">
        <f>IFERROR(VLOOKUP(C398,元件库!$B:$O,10,FALSE),"1.00")</f>
        <v>1</v>
      </c>
      <c r="M398" s="171">
        <f>IFERROR(VLOOKUP(C398,元件库!$B:$O,11,FALSE),"")</f>
        <v>182.62799999999999</v>
      </c>
      <c r="N398" s="172" t="str">
        <f t="shared" ca="1" si="149"/>
        <v/>
      </c>
      <c r="O398" s="176" t="str">
        <f>O401</f>
        <v>GGD-800*600*2000</v>
      </c>
    </row>
    <row r="399" spans="1:19" s="175" customFormat="1" ht="16.5" customHeight="1" x14ac:dyDescent="0.2">
      <c r="A399" s="38">
        <f>COUNTIF($J$1:J399,"!")</f>
        <v>25</v>
      </c>
      <c r="B399" s="163" t="s">
        <v>2172</v>
      </c>
      <c r="C399" s="164" t="s">
        <v>1889</v>
      </c>
      <c r="D399" s="165" t="str">
        <f>IFERROR(VLOOKUP(C399,元件库!$B:$O,2,FALSE),"")</f>
        <v>欣利铜材</v>
      </c>
      <c r="E399" s="166" t="str">
        <f t="shared" si="145"/>
        <v>米</v>
      </c>
      <c r="F399" s="166">
        <f>1*(MID(O399,FIND("-",O399)+1,FIND("*",O399)-FIND("-",O399)-1)/1000*IF(B399="水平排",3,1))</f>
        <v>0.8</v>
      </c>
      <c r="G399" s="42">
        <f t="shared" si="146"/>
        <v>182.62799999999999</v>
      </c>
      <c r="H399" s="42">
        <f t="shared" si="147"/>
        <v>146.10239999999999</v>
      </c>
      <c r="I399" s="167"/>
      <c r="J399" s="168">
        <f t="shared" si="150"/>
        <v>1</v>
      </c>
      <c r="K399" s="169">
        <f t="shared" si="148"/>
        <v>182.62799999999999</v>
      </c>
      <c r="L399" s="170">
        <f>IFERROR(VLOOKUP(C399,元件库!$B:$O,10,FALSE),"1.00")</f>
        <v>1</v>
      </c>
      <c r="M399" s="171">
        <f>IFERROR(VLOOKUP(C399,元件库!$B:$O,11,FALSE),"")</f>
        <v>182.62799999999999</v>
      </c>
      <c r="N399" s="172" t="str">
        <f t="shared" ca="1" si="149"/>
        <v/>
      </c>
      <c r="O399" s="176" t="str">
        <f>O401</f>
        <v>GGD-800*600*2000</v>
      </c>
    </row>
    <row r="400" spans="1:19" ht="16.5" customHeight="1" x14ac:dyDescent="0.2">
      <c r="A400" s="38">
        <f>COUNTIF($J$1:J400,"!")</f>
        <v>25</v>
      </c>
      <c r="B400" s="177" t="s">
        <v>107</v>
      </c>
      <c r="C400" s="164"/>
      <c r="D400" s="166"/>
      <c r="E400" s="166"/>
      <c r="F400" s="166"/>
      <c r="G400" s="42"/>
      <c r="H400" s="42"/>
      <c r="I400" s="178">
        <f>SUM(H388:H400)</f>
        <v>11749.239599999999</v>
      </c>
      <c r="J400" s="168"/>
      <c r="K400" s="169"/>
      <c r="L400" s="170"/>
      <c r="M400" s="171"/>
      <c r="O400" s="174"/>
      <c r="P400" s="162"/>
    </row>
    <row r="401" spans="1:23" ht="16.5" customHeight="1" x14ac:dyDescent="0.2">
      <c r="A401" s="38">
        <f>COUNTIF($J$1:J401,"!")</f>
        <v>25</v>
      </c>
      <c r="B401" s="179" t="s">
        <v>47</v>
      </c>
      <c r="C401" s="164"/>
      <c r="D401" s="166"/>
      <c r="E401" s="166"/>
      <c r="F401" s="166"/>
      <c r="G401" s="42"/>
      <c r="H401" s="42">
        <f>IFERROR(J401*K401,"")</f>
        <v>800</v>
      </c>
      <c r="I401" s="167"/>
      <c r="J401" s="168">
        <f>P$1</f>
        <v>1</v>
      </c>
      <c r="K401" s="169">
        <f>L401*M401</f>
        <v>800</v>
      </c>
      <c r="L401" s="170" t="str">
        <f>IFERROR(VLOOKUP(C401,元件库!$B:$O,10,FALSE),"1.00")</f>
        <v>1.00</v>
      </c>
      <c r="M401" s="171">
        <f>IF(B401="成套费",IF(ISNUMBER(FIND("GGD",O401)),800,IF(OR(ISNUMBER(FIND("GCS",O401)),ISNUMBER(FIND("GCK",O401)),ISNUMBER(FIND("MNS",O401))),1000,"")),IF(B401="辅件费",IF(VLOOKUP(A402,A$1:B401,2,FALSE)="低压电容柜",500,300),""))</f>
        <v>800</v>
      </c>
      <c r="O401" s="180" t="str">
        <f>C388</f>
        <v>GGD-800*600*2000</v>
      </c>
    </row>
    <row r="402" spans="1:23" s="161" customFormat="1" ht="16.5" customHeight="1" x14ac:dyDescent="0.2">
      <c r="A402" s="38">
        <f>COUNTIF($J$1:J402,"!")</f>
        <v>25</v>
      </c>
      <c r="B402" s="179" t="s">
        <v>49</v>
      </c>
      <c r="C402" s="164"/>
      <c r="D402" s="166"/>
      <c r="E402" s="166"/>
      <c r="F402" s="166"/>
      <c r="G402" s="42"/>
      <c r="H402" s="42">
        <f>IFERROR(J402*K402,"")</f>
        <v>300</v>
      </c>
      <c r="I402" s="167"/>
      <c r="J402" s="168">
        <f>P$1</f>
        <v>1</v>
      </c>
      <c r="K402" s="169">
        <f>L402*M402</f>
        <v>300</v>
      </c>
      <c r="L402" s="170" t="str">
        <f>IFERROR(VLOOKUP(C402,元件库!$B:$O,10,FALSE),"1.00")</f>
        <v>1.00</v>
      </c>
      <c r="M402" s="171">
        <f>IF(B402="成套费",IF(ISNUMBER(FIND("GGD",O402)),800,IF(OR(ISNUMBER(FIND("GCS",O402)),ISNUMBER(FIND("GCK",O402)),ISNUMBER(FIND("MNS",O402))),1000,"")),IF(B402="辅件费",IF(VLOOKUP(A402,A$1:B402,2,FALSE)="低压电容柜",500,300),""))</f>
        <v>300</v>
      </c>
      <c r="N402" s="181"/>
      <c r="O402" s="182" t="str">
        <f>O401</f>
        <v>GGD-800*600*2000</v>
      </c>
      <c r="R402" s="162"/>
      <c r="S402" s="162"/>
    </row>
    <row r="403" spans="1:23" s="161" customFormat="1" ht="16.5" customHeight="1" x14ac:dyDescent="0.2">
      <c r="A403" s="38">
        <f>COUNTIF($J$1:J403,"!")</f>
        <v>25</v>
      </c>
      <c r="B403" s="179" t="s">
        <v>79</v>
      </c>
      <c r="C403" s="164"/>
      <c r="D403" s="166"/>
      <c r="E403" s="166"/>
      <c r="F403" s="166"/>
      <c r="G403" s="42"/>
      <c r="H403" s="42">
        <f>K403*L403</f>
        <v>1541.9087519999998</v>
      </c>
      <c r="I403" s="167"/>
      <c r="J403" s="168"/>
      <c r="K403" s="169">
        <f>SUM(H400:H402)+I400</f>
        <v>12849.239599999999</v>
      </c>
      <c r="L403" s="279">
        <f>R$1</f>
        <v>0.12</v>
      </c>
      <c r="M403" s="171"/>
      <c r="N403" s="181"/>
      <c r="O403" s="162"/>
      <c r="R403" s="162"/>
      <c r="S403" s="162"/>
    </row>
    <row r="404" spans="1:23" s="162" customFormat="1" ht="16.5" customHeight="1" x14ac:dyDescent="0.2">
      <c r="A404" s="38">
        <f>COUNTIF($J$1:J404,"!")</f>
        <v>25</v>
      </c>
      <c r="B404" s="179" t="s">
        <v>108</v>
      </c>
      <c r="C404" s="164"/>
      <c r="D404" s="166"/>
      <c r="E404" s="166"/>
      <c r="F404" s="166"/>
      <c r="G404" s="184"/>
      <c r="H404" s="42">
        <f>K404*L404</f>
        <v>431.73445055999991</v>
      </c>
      <c r="I404" s="167"/>
      <c r="J404" s="168"/>
      <c r="K404" s="169">
        <f>H403+K403</f>
        <v>14391.148351999998</v>
      </c>
      <c r="L404" s="279">
        <f>T$1</f>
        <v>0.03</v>
      </c>
      <c r="M404" s="171"/>
      <c r="N404" s="161"/>
      <c r="P404" s="161"/>
      <c r="T404" s="157"/>
      <c r="U404" s="157"/>
      <c r="V404" s="157"/>
      <c r="W404" s="157"/>
    </row>
    <row r="405" spans="1:23" s="162" customFormat="1" ht="16.5" customHeight="1" x14ac:dyDescent="0.15">
      <c r="A405" s="32">
        <f>COUNTIF($J$1:J405,"!")</f>
        <v>26</v>
      </c>
      <c r="B405" s="33" t="s">
        <v>3046</v>
      </c>
      <c r="C405" s="158" t="s">
        <v>3157</v>
      </c>
      <c r="D405" s="159" t="s">
        <v>3154</v>
      </c>
      <c r="E405" s="34" t="s">
        <v>23</v>
      </c>
      <c r="F405" s="159">
        <v>1</v>
      </c>
      <c r="G405" s="36">
        <f>ROUND(SUM(H406:H422),0)</f>
        <v>10525</v>
      </c>
      <c r="H405" s="160" t="str">
        <f>IF(ISNUMBER(FIND(" ",C406)),MID(C406,1,FIND(" ",C406)-1),IF(ISNUMBER(FIND("电容柜",B405)),"GGJ",MID(C406,1,FIND("-",C406)-1)))</f>
        <v>GGJ</v>
      </c>
      <c r="I405" s="47" t="str">
        <f>MID(C406,IF(LEN(C406)-LEN(H405)&gt;3,LEN(H405)+2,1),30)</f>
        <v>800*600*2000</v>
      </c>
      <c r="J405" s="48" t="s">
        <v>24</v>
      </c>
      <c r="K405" s="49"/>
      <c r="L405" s="50"/>
      <c r="M405" s="51"/>
      <c r="N405" s="161"/>
      <c r="P405" s="161"/>
      <c r="T405" s="157"/>
      <c r="U405" s="157"/>
      <c r="V405" s="157"/>
      <c r="W405" s="157"/>
    </row>
    <row r="406" spans="1:23" s="162" customFormat="1" ht="16.5" customHeight="1" x14ac:dyDescent="0.2">
      <c r="A406" s="38">
        <f>COUNTIF($J$1:J406,"!")</f>
        <v>26</v>
      </c>
      <c r="B406" s="163" t="str">
        <f>IFERROR(VLOOKUP(C406,元件库!$B:$O,3,FALSE),"")</f>
        <v>壳体W*D*H</v>
      </c>
      <c r="C406" s="164" t="s">
        <v>2337</v>
      </c>
      <c r="D406" s="165" t="str">
        <f>IFERROR(VLOOKUP(C406,元件库!$B:$O,2,FALSE),"")</f>
        <v>精益联合集团</v>
      </c>
      <c r="E406" s="166" t="str">
        <f t="shared" ref="E406:E417" si="151">IF(D406="欣利铜材","米",IF(B406="熔断器","套","只"))</f>
        <v>只</v>
      </c>
      <c r="F406" s="166">
        <v>1</v>
      </c>
      <c r="G406" s="42">
        <f t="shared" ref="G406:G417" si="152">IFERROR(J406*K406,"")</f>
        <v>1550</v>
      </c>
      <c r="H406" s="42">
        <f t="shared" ref="H406:H417" si="153">IFERROR(G406*F406,"")</f>
        <v>1550</v>
      </c>
      <c r="I406" s="167"/>
      <c r="J406" s="168">
        <f>P$1</f>
        <v>1</v>
      </c>
      <c r="K406" s="169">
        <f t="shared" ref="K406:K417" si="154">IFERROR(M406*L406,"")</f>
        <v>1550</v>
      </c>
      <c r="L406" s="170">
        <f>IFERROR(VLOOKUP(C406,元件库!$B:$O,10,FALSE),"1.00")</f>
        <v>1</v>
      </c>
      <c r="M406" s="171">
        <f>IFERROR(VLOOKUP(C406,元件库!$B:$O,11,FALSE),"")</f>
        <v>1550</v>
      </c>
      <c r="N406" s="172" t="str">
        <f t="shared" ref="N406:N417" ca="1" si="155">IF(AND(ISNUMBER(FIND("IF",_xlfn.FORMULATEXT(L406))),ISNUMBER(FIND("IF",_xlfn.FORMULATEXT(M406)))),"","值")</f>
        <v/>
      </c>
      <c r="O406" s="157" t="str">
        <f>B405</f>
        <v>低压电容柜</v>
      </c>
      <c r="P406" s="161"/>
      <c r="T406" s="157"/>
      <c r="U406" s="157"/>
      <c r="V406" s="157"/>
      <c r="W406" s="157"/>
    </row>
    <row r="407" spans="1:23" s="173" customFormat="1" ht="16.5" customHeight="1" x14ac:dyDescent="0.2">
      <c r="A407" s="38">
        <f>COUNTIF($J$1:J407,"!")</f>
        <v>26</v>
      </c>
      <c r="B407" s="163" t="str">
        <f>IFERROR(VLOOKUP(C407,元件库!$B:$O,3,FALSE),"")</f>
        <v>刀开关</v>
      </c>
      <c r="C407" s="164" t="s">
        <v>2849</v>
      </c>
      <c r="D407" s="165" t="str">
        <f>IFERROR(VLOOKUP(C407,元件库!$B:$O,2,FALSE),"")</f>
        <v>精益联合集团</v>
      </c>
      <c r="E407" s="166" t="str">
        <f t="shared" si="151"/>
        <v>只</v>
      </c>
      <c r="F407" s="166">
        <v>1</v>
      </c>
      <c r="G407" s="42">
        <f t="shared" si="152"/>
        <v>192.50000000000003</v>
      </c>
      <c r="H407" s="42">
        <f t="shared" si="153"/>
        <v>192.50000000000003</v>
      </c>
      <c r="I407" s="167"/>
      <c r="J407" s="168">
        <f t="shared" ref="J407:J417" si="156">P$1</f>
        <v>1</v>
      </c>
      <c r="K407" s="169">
        <f t="shared" si="154"/>
        <v>192.50000000000003</v>
      </c>
      <c r="L407" s="170">
        <f>IFERROR(VLOOKUP(C407,元件库!$B:$O,10,FALSE),"1.00")</f>
        <v>0.55000000000000004</v>
      </c>
      <c r="M407" s="171">
        <f>IFERROR(VLOOKUP(C407,元件库!$B:$O,11,FALSE),"")</f>
        <v>350</v>
      </c>
      <c r="N407" s="172" t="str">
        <f t="shared" ca="1" si="155"/>
        <v/>
      </c>
      <c r="P407" s="161"/>
    </row>
    <row r="408" spans="1:23" s="173" customFormat="1" ht="16.5" customHeight="1" x14ac:dyDescent="0.2">
      <c r="A408" s="38">
        <f>COUNTIF($J$1:J408,"!")</f>
        <v>26</v>
      </c>
      <c r="B408" s="163" t="str">
        <f>IFERROR(VLOOKUP(C408,元件库!$B:$O,3,FALSE),"")</f>
        <v/>
      </c>
      <c r="C408" s="164" t="s">
        <v>3128</v>
      </c>
      <c r="D408" s="165" t="str">
        <f>IFERROR(VLOOKUP(C408,元件库!$B:$O,2,FALSE),"")</f>
        <v/>
      </c>
      <c r="E408" s="166" t="str">
        <f t="shared" si="151"/>
        <v>只</v>
      </c>
      <c r="F408" s="166">
        <v>3</v>
      </c>
      <c r="G408" s="42" t="str">
        <f t="shared" si="152"/>
        <v/>
      </c>
      <c r="H408" s="42" t="str">
        <f t="shared" si="153"/>
        <v/>
      </c>
      <c r="I408" s="167"/>
      <c r="J408" s="168">
        <f t="shared" si="156"/>
        <v>1</v>
      </c>
      <c r="K408" s="169" t="str">
        <f t="shared" si="154"/>
        <v/>
      </c>
      <c r="L408" s="170" t="str">
        <f>IFERROR(VLOOKUP(C408,元件库!$B:$O,10,FALSE),"1.00")</f>
        <v>1.00</v>
      </c>
      <c r="M408" s="171" t="str">
        <f>IFERROR(VLOOKUP(C408,元件库!$B:$O,11,FALSE),"")</f>
        <v/>
      </c>
      <c r="N408" s="172" t="str">
        <f t="shared" ca="1" si="155"/>
        <v/>
      </c>
      <c r="P408" s="161"/>
    </row>
    <row r="409" spans="1:23" s="173" customFormat="1" ht="16.5" customHeight="1" x14ac:dyDescent="0.2">
      <c r="A409" s="38">
        <f>COUNTIF($J$1:J409,"!")</f>
        <v>26</v>
      </c>
      <c r="B409" s="163" t="str">
        <f>IFERROR(VLOOKUP(C409,元件库!$B:$O,3,FALSE),"")</f>
        <v>电流.电压表</v>
      </c>
      <c r="C409" s="164" t="s">
        <v>1899</v>
      </c>
      <c r="D409" s="165" t="str">
        <f>IFERROR(VLOOKUP(C409,元件库!$B:$O,2,FALSE),"")</f>
        <v>精益联合集团</v>
      </c>
      <c r="E409" s="166" t="str">
        <f t="shared" si="151"/>
        <v>只</v>
      </c>
      <c r="F409" s="166">
        <v>6</v>
      </c>
      <c r="G409" s="42">
        <f t="shared" si="152"/>
        <v>13.750000000000002</v>
      </c>
      <c r="H409" s="42">
        <f t="shared" si="153"/>
        <v>82.500000000000014</v>
      </c>
      <c r="I409" s="167"/>
      <c r="J409" s="168">
        <f t="shared" si="156"/>
        <v>1</v>
      </c>
      <c r="K409" s="169">
        <f t="shared" si="154"/>
        <v>13.750000000000002</v>
      </c>
      <c r="L409" s="170">
        <f>IFERROR(VLOOKUP(C409,元件库!$B:$O,10,FALSE),"1.00")</f>
        <v>0.55000000000000004</v>
      </c>
      <c r="M409" s="171">
        <f>IFERROR(VLOOKUP(C409,元件库!$B:$O,11,FALSE),"")</f>
        <v>25</v>
      </c>
      <c r="N409" s="172" t="str">
        <f t="shared" ca="1" si="155"/>
        <v/>
      </c>
      <c r="P409" s="161"/>
    </row>
    <row r="410" spans="1:23" s="173" customFormat="1" ht="16.5" customHeight="1" x14ac:dyDescent="0.2">
      <c r="A410" s="38">
        <f>COUNTIF($J$1:J410,"!")</f>
        <v>26</v>
      </c>
      <c r="B410" s="163" t="str">
        <f>IFERROR(VLOOKUP(C410,元件库!$B:$O,3,FALSE),"")</f>
        <v>氧化锌避雷器</v>
      </c>
      <c r="C410" s="164" t="s">
        <v>3048</v>
      </c>
      <c r="D410" s="165" t="str">
        <f>IFERROR(VLOOKUP(C410,元件库!$B:$O,2,FALSE),"")</f>
        <v>精益联合集团</v>
      </c>
      <c r="E410" s="166" t="str">
        <f t="shared" si="151"/>
        <v>只</v>
      </c>
      <c r="F410" s="166">
        <v>3</v>
      </c>
      <c r="G410" s="42">
        <f t="shared" si="152"/>
        <v>9.9</v>
      </c>
      <c r="H410" s="42">
        <f t="shared" si="153"/>
        <v>29.700000000000003</v>
      </c>
      <c r="I410" s="167"/>
      <c r="J410" s="168">
        <f t="shared" si="156"/>
        <v>1</v>
      </c>
      <c r="K410" s="169">
        <f t="shared" si="154"/>
        <v>9.9</v>
      </c>
      <c r="L410" s="170">
        <f>IFERROR(VLOOKUP(C410,元件库!$B:$O,10,FALSE),"1.00")</f>
        <v>0.55000000000000004</v>
      </c>
      <c r="M410" s="171">
        <f>IFERROR(VLOOKUP(C410,元件库!$B:$O,11,FALSE),"")</f>
        <v>18</v>
      </c>
      <c r="N410" s="172" t="str">
        <f t="shared" ca="1" si="155"/>
        <v/>
      </c>
      <c r="P410" s="161"/>
    </row>
    <row r="411" spans="1:23" s="173" customFormat="1" ht="16.5" customHeight="1" x14ac:dyDescent="0.2">
      <c r="A411" s="38">
        <f>COUNTIF($J$1:J411,"!")</f>
        <v>26</v>
      </c>
      <c r="B411" s="163" t="str">
        <f>IFERROR(VLOOKUP(C411,元件库!$B:$O,3,FALSE),"")</f>
        <v>智能电容器</v>
      </c>
      <c r="C411" s="164" t="s">
        <v>3149</v>
      </c>
      <c r="D411" s="165" t="str">
        <f>IFERROR(VLOOKUP(C411,元件库!$B:$O,2,FALSE),"")</f>
        <v>九康电气</v>
      </c>
      <c r="E411" s="166" t="str">
        <f t="shared" si="151"/>
        <v>只</v>
      </c>
      <c r="F411" s="166">
        <v>6</v>
      </c>
      <c r="G411" s="42">
        <f t="shared" si="152"/>
        <v>715</v>
      </c>
      <c r="H411" s="42">
        <f t="shared" si="153"/>
        <v>4290</v>
      </c>
      <c r="I411" s="167"/>
      <c r="J411" s="168">
        <f t="shared" si="156"/>
        <v>1</v>
      </c>
      <c r="K411" s="169">
        <f t="shared" si="154"/>
        <v>715</v>
      </c>
      <c r="L411" s="170">
        <f>IFERROR(VLOOKUP(C411,元件库!$B:$O,10,FALSE),"1.00")</f>
        <v>1</v>
      </c>
      <c r="M411" s="171">
        <f>IFERROR(VLOOKUP(C411,元件库!$B:$O,11,FALSE),"")</f>
        <v>715</v>
      </c>
      <c r="N411" s="172" t="str">
        <f t="shared" ca="1" si="155"/>
        <v/>
      </c>
      <c r="P411" s="161"/>
    </row>
    <row r="412" spans="1:23" s="173" customFormat="1" ht="16.5" customHeight="1" x14ac:dyDescent="0.2">
      <c r="A412" s="38">
        <f>COUNTIF($J$1:J412,"!")</f>
        <v>26</v>
      </c>
      <c r="B412" s="163" t="str">
        <f>IFERROR(VLOOKUP(C412,元件库!$B:$O,3,FALSE),"")</f>
        <v>补偿控制器</v>
      </c>
      <c r="C412" s="164" t="s">
        <v>3129</v>
      </c>
      <c r="D412" s="165" t="str">
        <f>IFERROR(VLOOKUP(C412,元件库!$B:$O,2,FALSE),"")</f>
        <v>九康电气</v>
      </c>
      <c r="E412" s="166" t="str">
        <f t="shared" si="151"/>
        <v>只</v>
      </c>
      <c r="F412" s="166">
        <v>1</v>
      </c>
      <c r="G412" s="42">
        <f t="shared" si="152"/>
        <v>320</v>
      </c>
      <c r="H412" s="42">
        <f t="shared" si="153"/>
        <v>320</v>
      </c>
      <c r="I412" s="167"/>
      <c r="J412" s="168">
        <f t="shared" si="156"/>
        <v>1</v>
      </c>
      <c r="K412" s="169">
        <f t="shared" si="154"/>
        <v>320</v>
      </c>
      <c r="L412" s="170">
        <f>IFERROR(VLOOKUP(C412,元件库!$B:$O,10,FALSE),"1.00")</f>
        <v>1</v>
      </c>
      <c r="M412" s="171">
        <f>IFERROR(VLOOKUP(C412,元件库!$B:$O,11,FALSE),"")</f>
        <v>320</v>
      </c>
      <c r="N412" s="172" t="str">
        <f t="shared" ca="1" si="155"/>
        <v/>
      </c>
      <c r="P412" s="161"/>
    </row>
    <row r="413" spans="1:23" s="173" customFormat="1" ht="16.5" customHeight="1" x14ac:dyDescent="0.2">
      <c r="A413" s="38">
        <f>COUNTIF($J$1:J413,"!")</f>
        <v>26</v>
      </c>
      <c r="B413" s="163" t="str">
        <f>IFERROR(VLOOKUP(C413,元件库!$B:$O,3,FALSE),"")</f>
        <v>指示灯</v>
      </c>
      <c r="C413" s="164" t="s">
        <v>3044</v>
      </c>
      <c r="D413" s="165" t="str">
        <f>IFERROR(VLOOKUP(C413,元件库!$B:$O,2,FALSE),"")</f>
        <v>精益联合集团</v>
      </c>
      <c r="E413" s="166" t="str">
        <f t="shared" si="151"/>
        <v>只</v>
      </c>
      <c r="F413" s="166">
        <v>6</v>
      </c>
      <c r="G413" s="42">
        <f t="shared" si="152"/>
        <v>2.3100000000000005</v>
      </c>
      <c r="H413" s="42">
        <f t="shared" si="153"/>
        <v>13.860000000000003</v>
      </c>
      <c r="I413" s="167"/>
      <c r="J413" s="168">
        <f t="shared" si="156"/>
        <v>1</v>
      </c>
      <c r="K413" s="169">
        <f t="shared" si="154"/>
        <v>2.3100000000000005</v>
      </c>
      <c r="L413" s="170">
        <f>IFERROR(VLOOKUP(C413,元件库!$B:$O,10,FALSE),"1.00")</f>
        <v>0.55000000000000004</v>
      </c>
      <c r="M413" s="171">
        <f>IFERROR(VLOOKUP(C413,元件库!$B:$O,11,FALSE),"")</f>
        <v>4.2</v>
      </c>
      <c r="N413" s="172" t="str">
        <f t="shared" ca="1" si="155"/>
        <v/>
      </c>
      <c r="P413" s="161"/>
    </row>
    <row r="414" spans="1:23" s="173" customFormat="1" ht="16.5" customHeight="1" x14ac:dyDescent="0.2">
      <c r="A414" s="38">
        <f>COUNTIF($J$1:J414,"!")</f>
        <v>26</v>
      </c>
      <c r="B414" s="163" t="str">
        <f>IFERROR(VLOOKUP(C414,元件库!$B:$O,3,FALSE),"")</f>
        <v>铜排</v>
      </c>
      <c r="C414" s="164" t="s">
        <v>1910</v>
      </c>
      <c r="D414" s="165" t="str">
        <f>IFERROR(VLOOKUP(C414,元件库!$B:$O,2,FALSE),"")</f>
        <v>欣利铜材</v>
      </c>
      <c r="E414" s="166" t="str">
        <f t="shared" si="151"/>
        <v>米</v>
      </c>
      <c r="F414" s="166">
        <v>6</v>
      </c>
      <c r="G414" s="42">
        <f t="shared" si="152"/>
        <v>45.656999999999996</v>
      </c>
      <c r="H414" s="42">
        <f t="shared" si="153"/>
        <v>273.94200000000001</v>
      </c>
      <c r="I414" s="167"/>
      <c r="J414" s="168">
        <f t="shared" si="156"/>
        <v>1</v>
      </c>
      <c r="K414" s="169">
        <f t="shared" si="154"/>
        <v>45.656999999999996</v>
      </c>
      <c r="L414" s="170">
        <f>IFERROR(VLOOKUP(C414,元件库!$B:$O,10,FALSE),"1.00")</f>
        <v>1</v>
      </c>
      <c r="M414" s="171">
        <f>IFERROR(VLOOKUP(C414,元件库!$B:$O,11,FALSE),"")</f>
        <v>45.656999999999996</v>
      </c>
      <c r="N414" s="172" t="str">
        <f t="shared" ca="1" si="155"/>
        <v/>
      </c>
      <c r="P414" s="161"/>
    </row>
    <row r="415" spans="1:23" s="175" customFormat="1" ht="16.5" customHeight="1" x14ac:dyDescent="0.2">
      <c r="A415" s="38">
        <f>COUNTIF($J$1:J415,"!")</f>
        <v>26</v>
      </c>
      <c r="B415" s="163" t="s">
        <v>2171</v>
      </c>
      <c r="C415" s="164" t="s">
        <v>2225</v>
      </c>
      <c r="D415" s="165" t="str">
        <f>IFERROR(VLOOKUP(C415,元件库!$B:$O,2,FALSE),"")</f>
        <v>欣利铜材</v>
      </c>
      <c r="E415" s="166" t="str">
        <f t="shared" si="151"/>
        <v>米</v>
      </c>
      <c r="F415" s="166">
        <f>1*(MID(O415,FIND("-",O415)+1,FIND("*",O415)-FIND("-",O415)-1)/1000*IF(B415="水平排",3,1))</f>
        <v>2.4000000000000004</v>
      </c>
      <c r="G415" s="42">
        <f t="shared" si="152"/>
        <v>324.67199999999997</v>
      </c>
      <c r="H415" s="42">
        <f t="shared" si="153"/>
        <v>779.21280000000002</v>
      </c>
      <c r="I415" s="167"/>
      <c r="J415" s="168">
        <f t="shared" si="156"/>
        <v>1</v>
      </c>
      <c r="K415" s="169">
        <f t="shared" si="154"/>
        <v>324.67199999999997</v>
      </c>
      <c r="L415" s="170">
        <f>IFERROR(VLOOKUP(C415,元件库!$B:$O,10,FALSE),"1.00")</f>
        <v>1</v>
      </c>
      <c r="M415" s="171">
        <f>IFERROR(VLOOKUP(C415,元件库!$B:$O,11,FALSE),"")</f>
        <v>324.67199999999997</v>
      </c>
      <c r="N415" s="172" t="str">
        <f t="shared" ca="1" si="155"/>
        <v/>
      </c>
      <c r="O415" s="174" t="str">
        <f>O419</f>
        <v>GGD-800*600*2000</v>
      </c>
    </row>
    <row r="416" spans="1:23" s="175" customFormat="1" ht="16.5" customHeight="1" x14ac:dyDescent="0.2">
      <c r="A416" s="38">
        <f>COUNTIF($J$1:J416,"!")</f>
        <v>26</v>
      </c>
      <c r="B416" s="163" t="s">
        <v>2725</v>
      </c>
      <c r="C416" s="164" t="s">
        <v>1889</v>
      </c>
      <c r="D416" s="165" t="str">
        <f>IFERROR(VLOOKUP(C416,元件库!$B:$O,2,FALSE),"")</f>
        <v>欣利铜材</v>
      </c>
      <c r="E416" s="166" t="str">
        <f t="shared" si="151"/>
        <v>米</v>
      </c>
      <c r="F416" s="166">
        <f>1*(MID(O416,FIND("-",O416)+1,FIND("*",O416)-FIND("-",O416)-1)/1000*IF(B416="水平排",3,1))</f>
        <v>0.8</v>
      </c>
      <c r="G416" s="42">
        <f t="shared" si="152"/>
        <v>182.62799999999999</v>
      </c>
      <c r="H416" s="42">
        <f t="shared" si="153"/>
        <v>146.10239999999999</v>
      </c>
      <c r="I416" s="167"/>
      <c r="J416" s="168">
        <f t="shared" si="156"/>
        <v>1</v>
      </c>
      <c r="K416" s="169">
        <f t="shared" si="154"/>
        <v>182.62799999999999</v>
      </c>
      <c r="L416" s="170">
        <f>IFERROR(VLOOKUP(C416,元件库!$B:$O,10,FALSE),"1.00")</f>
        <v>1</v>
      </c>
      <c r="M416" s="171">
        <f>IFERROR(VLOOKUP(C416,元件库!$B:$O,11,FALSE),"")</f>
        <v>182.62799999999999</v>
      </c>
      <c r="N416" s="172" t="str">
        <f t="shared" ca="1" si="155"/>
        <v/>
      </c>
      <c r="O416" s="176" t="str">
        <f>O419</f>
        <v>GGD-800*600*2000</v>
      </c>
    </row>
    <row r="417" spans="1:19" s="175" customFormat="1" ht="16.5" customHeight="1" x14ac:dyDescent="0.2">
      <c r="A417" s="38">
        <f>COUNTIF($J$1:J417,"!")</f>
        <v>26</v>
      </c>
      <c r="B417" s="163" t="s">
        <v>2172</v>
      </c>
      <c r="C417" s="164" t="s">
        <v>1889</v>
      </c>
      <c r="D417" s="165" t="str">
        <f>IFERROR(VLOOKUP(C417,元件库!$B:$O,2,FALSE),"")</f>
        <v>欣利铜材</v>
      </c>
      <c r="E417" s="166" t="str">
        <f t="shared" si="151"/>
        <v>米</v>
      </c>
      <c r="F417" s="166">
        <f>1*(MID(O417,FIND("-",O417)+1,FIND("*",O417)-FIND("-",O417)-1)/1000*IF(B417="水平排",3,1))</f>
        <v>0.8</v>
      </c>
      <c r="G417" s="42">
        <f t="shared" si="152"/>
        <v>182.62799999999999</v>
      </c>
      <c r="H417" s="42">
        <f t="shared" si="153"/>
        <v>146.10239999999999</v>
      </c>
      <c r="I417" s="167"/>
      <c r="J417" s="168">
        <f t="shared" si="156"/>
        <v>1</v>
      </c>
      <c r="K417" s="169">
        <f t="shared" si="154"/>
        <v>182.62799999999999</v>
      </c>
      <c r="L417" s="170">
        <f>IFERROR(VLOOKUP(C417,元件库!$B:$O,10,FALSE),"1.00")</f>
        <v>1</v>
      </c>
      <c r="M417" s="171">
        <f>IFERROR(VLOOKUP(C417,元件库!$B:$O,11,FALSE),"")</f>
        <v>182.62799999999999</v>
      </c>
      <c r="N417" s="172" t="str">
        <f t="shared" ca="1" si="155"/>
        <v/>
      </c>
      <c r="O417" s="176" t="str">
        <f>O419</f>
        <v>GGD-800*600*2000</v>
      </c>
    </row>
    <row r="418" spans="1:19" ht="16.5" customHeight="1" x14ac:dyDescent="0.2">
      <c r="A418" s="38">
        <f>COUNTIF($J$1:J418,"!")</f>
        <v>26</v>
      </c>
      <c r="B418" s="177" t="s">
        <v>107</v>
      </c>
      <c r="C418" s="164"/>
      <c r="D418" s="166"/>
      <c r="E418" s="166"/>
      <c r="F418" s="166"/>
      <c r="G418" s="42"/>
      <c r="H418" s="42"/>
      <c r="I418" s="178">
        <f>SUM(H406:H418)</f>
        <v>7823.9195999999993</v>
      </c>
      <c r="J418" s="168"/>
      <c r="K418" s="169"/>
      <c r="L418" s="170"/>
      <c r="M418" s="171"/>
      <c r="O418" s="174"/>
      <c r="P418" s="162"/>
    </row>
    <row r="419" spans="1:19" ht="16.5" customHeight="1" x14ac:dyDescent="0.2">
      <c r="A419" s="38">
        <f>COUNTIF($J$1:J419,"!")</f>
        <v>26</v>
      </c>
      <c r="B419" s="179" t="s">
        <v>47</v>
      </c>
      <c r="C419" s="164"/>
      <c r="D419" s="166"/>
      <c r="E419" s="166"/>
      <c r="F419" s="166"/>
      <c r="G419" s="42"/>
      <c r="H419" s="42">
        <f>IFERROR(J419*K419,"")</f>
        <v>800</v>
      </c>
      <c r="I419" s="167"/>
      <c r="J419" s="168">
        <f>P$1</f>
        <v>1</v>
      </c>
      <c r="K419" s="169">
        <f>L419*M419</f>
        <v>800</v>
      </c>
      <c r="L419" s="170" t="str">
        <f>IFERROR(VLOOKUP(C419,元件库!$B:$O,10,FALSE),"1.00")</f>
        <v>1.00</v>
      </c>
      <c r="M419" s="171">
        <f>IF(B419="成套费",IF(ISNUMBER(FIND("GGD",O419)),800,IF(OR(ISNUMBER(FIND("GCS",O419)),ISNUMBER(FIND("GCK",O419)),ISNUMBER(FIND("MNS",O419))),1000,"")),IF(B419="辅件费",IF(VLOOKUP(A420,A$1:B419,2,FALSE)="低压电容柜",500,300),""))</f>
        <v>800</v>
      </c>
      <c r="O419" s="180" t="str">
        <f>C406</f>
        <v>GGD-800*600*2000</v>
      </c>
    </row>
    <row r="420" spans="1:19" s="161" customFormat="1" ht="16.5" customHeight="1" x14ac:dyDescent="0.2">
      <c r="A420" s="38">
        <f>COUNTIF($J$1:J420,"!")</f>
        <v>26</v>
      </c>
      <c r="B420" s="179" t="s">
        <v>49</v>
      </c>
      <c r="C420" s="164"/>
      <c r="D420" s="166"/>
      <c r="E420" s="166"/>
      <c r="F420" s="166"/>
      <c r="G420" s="42"/>
      <c r="H420" s="42">
        <f>IFERROR(J420*K420,"")</f>
        <v>500</v>
      </c>
      <c r="I420" s="167"/>
      <c r="J420" s="168">
        <f>P$1</f>
        <v>1</v>
      </c>
      <c r="K420" s="169">
        <f>L420*M420</f>
        <v>500</v>
      </c>
      <c r="L420" s="170" t="str">
        <f>IFERROR(VLOOKUP(C420,元件库!$B:$O,10,FALSE),"1.00")</f>
        <v>1.00</v>
      </c>
      <c r="M420" s="171">
        <f>IF(B420="成套费",IF(ISNUMBER(FIND("GGD",O420)),800,IF(OR(ISNUMBER(FIND("GCS",O420)),ISNUMBER(FIND("GCK",O420)),ISNUMBER(FIND("MNS",O420))),1000,"")),IF(B420="辅件费",IF(VLOOKUP(A420,A$1:B420,2,FALSE)="低压电容柜",500,300),""))</f>
        <v>500</v>
      </c>
      <c r="N420" s="181"/>
      <c r="O420" s="182" t="str">
        <f>O419</f>
        <v>GGD-800*600*2000</v>
      </c>
      <c r="R420" s="162"/>
      <c r="S420" s="162"/>
    </row>
    <row r="421" spans="1:19" s="161" customFormat="1" ht="16.5" customHeight="1" x14ac:dyDescent="0.2">
      <c r="A421" s="38">
        <f>COUNTIF($J$1:J421,"!")</f>
        <v>26</v>
      </c>
      <c r="B421" s="179" t="s">
        <v>79</v>
      </c>
      <c r="C421" s="164"/>
      <c r="D421" s="166"/>
      <c r="E421" s="166"/>
      <c r="F421" s="166"/>
      <c r="G421" s="42"/>
      <c r="H421" s="42">
        <f>K421*L421</f>
        <v>1094.8703519999999</v>
      </c>
      <c r="I421" s="167"/>
      <c r="J421" s="168"/>
      <c r="K421" s="169">
        <f>SUM(H418:H420)+I418</f>
        <v>9123.9195999999993</v>
      </c>
      <c r="L421" s="279">
        <f>R$1</f>
        <v>0.12</v>
      </c>
      <c r="M421" s="171"/>
      <c r="N421" s="181"/>
      <c r="O421" s="162"/>
      <c r="R421" s="162"/>
      <c r="S421" s="162"/>
    </row>
    <row r="422" spans="1:19" ht="16.5" customHeight="1" x14ac:dyDescent="0.2">
      <c r="A422" s="38">
        <f>COUNTIF($J$1:J422,"!")</f>
        <v>26</v>
      </c>
      <c r="B422" s="179" t="s">
        <v>108</v>
      </c>
      <c r="C422" s="164"/>
      <c r="D422" s="166"/>
      <c r="E422" s="166"/>
      <c r="F422" s="166"/>
      <c r="G422" s="184"/>
      <c r="H422" s="42">
        <f>K422*L422</f>
        <v>306.56369855999998</v>
      </c>
      <c r="I422" s="167"/>
      <c r="J422" s="168"/>
      <c r="K422" s="169">
        <f>H421+K421</f>
        <v>10218.789951999999</v>
      </c>
      <c r="L422" s="279">
        <f>T$1</f>
        <v>0.03</v>
      </c>
      <c r="M422" s="171"/>
      <c r="O422" s="162"/>
    </row>
    <row r="423" spans="1:19" ht="16.5" customHeight="1" x14ac:dyDescent="0.15">
      <c r="A423" s="32">
        <f>COUNTIF($J$1:J423,"!")</f>
        <v>27</v>
      </c>
      <c r="B423" s="33" t="s">
        <v>2726</v>
      </c>
      <c r="C423" s="158" t="s">
        <v>3158</v>
      </c>
      <c r="D423" s="159" t="s">
        <v>3154</v>
      </c>
      <c r="E423" s="34" t="s">
        <v>23</v>
      </c>
      <c r="F423" s="159">
        <v>2</v>
      </c>
      <c r="G423" s="36">
        <f>ROUND(SUM(H424:H439),0)</f>
        <v>9668</v>
      </c>
      <c r="H423" s="160" t="str">
        <f>IF(ISNUMBER(FIND(" ",C424)),MID(C424,1,FIND(" ",C424)-1),IF(ISNUMBER(FIND("电容柜",B423)),"GGJ",MID(C424,1,FIND("-",C424)-1)))</f>
        <v>GGD</v>
      </c>
      <c r="I423" s="47" t="str">
        <f>MID(C424,IF(LEN(C424)-LEN(H423)&gt;3,LEN(H423)+2,1),30)</f>
        <v>1200*600*2000</v>
      </c>
      <c r="J423" s="48" t="s">
        <v>24</v>
      </c>
      <c r="K423" s="49"/>
      <c r="L423" s="50"/>
      <c r="M423" s="51"/>
      <c r="O423" s="162"/>
    </row>
    <row r="424" spans="1:19" ht="16.5" customHeight="1" x14ac:dyDescent="0.2">
      <c r="A424" s="38">
        <f>COUNTIF($J$1:J424,"!")</f>
        <v>27</v>
      </c>
      <c r="B424" s="163" t="str">
        <f>IFERROR(VLOOKUP(C424,元件库!$B:$O,3,FALSE),"")</f>
        <v>壳体W*D*H</v>
      </c>
      <c r="C424" s="164" t="s">
        <v>2888</v>
      </c>
      <c r="D424" s="165" t="str">
        <f>IFERROR(VLOOKUP(C424,元件库!$B:$O,2,FALSE),"")</f>
        <v>精益联合集团</v>
      </c>
      <c r="E424" s="166" t="str">
        <f t="shared" ref="E424:E434" si="157">IF(D424="欣利铜材","米",IF(B424="熔断器","套","只"))</f>
        <v>只</v>
      </c>
      <c r="F424" s="166">
        <v>1</v>
      </c>
      <c r="G424" s="42">
        <f t="shared" ref="G424:G434" si="158">IFERROR(J424*K424,"")</f>
        <v>1850</v>
      </c>
      <c r="H424" s="42">
        <f t="shared" ref="H424:H434" si="159">IFERROR(G424*F424,"")</f>
        <v>1850</v>
      </c>
      <c r="I424" s="167"/>
      <c r="J424" s="168">
        <f>P$1</f>
        <v>1</v>
      </c>
      <c r="K424" s="169">
        <f t="shared" ref="K424:K434" si="160">IFERROR(M424*L424,"")</f>
        <v>1850</v>
      </c>
      <c r="L424" s="170">
        <f>IFERROR(VLOOKUP(C424,元件库!$B:$O,10,FALSE),"1.00")</f>
        <v>1</v>
      </c>
      <c r="M424" s="171">
        <f>IFERROR(VLOOKUP(C424,元件库!$B:$O,11,FALSE),"")</f>
        <v>1850</v>
      </c>
      <c r="N424" s="172" t="str">
        <f t="shared" ref="N424:N434" ca="1" si="161">IF(AND(ISNUMBER(FIND("IF",_xlfn.FORMULATEXT(L424))),ISNUMBER(FIND("IF",_xlfn.FORMULATEXT(M424)))),"","值")</f>
        <v/>
      </c>
      <c r="O424" s="157" t="str">
        <f>B423</f>
        <v>低压馈线柜</v>
      </c>
    </row>
    <row r="425" spans="1:19" s="173" customFormat="1" ht="16.5" customHeight="1" x14ac:dyDescent="0.2">
      <c r="A425" s="38">
        <f>COUNTIF($J$1:J425,"!")</f>
        <v>27</v>
      </c>
      <c r="B425" s="163" t="str">
        <f>IFERROR(VLOOKUP(C425,元件库!$B:$O,3,FALSE),"")</f>
        <v>刀开关</v>
      </c>
      <c r="C425" s="164" t="s">
        <v>3051</v>
      </c>
      <c r="D425" s="165" t="str">
        <f>IFERROR(VLOOKUP(C425,元件库!$B:$O,2,FALSE),"")</f>
        <v>精益联合集团</v>
      </c>
      <c r="E425" s="166" t="str">
        <f t="shared" si="157"/>
        <v>只</v>
      </c>
      <c r="F425" s="166">
        <v>1</v>
      </c>
      <c r="G425" s="42">
        <f t="shared" si="158"/>
        <v>573.1</v>
      </c>
      <c r="H425" s="42">
        <f t="shared" si="159"/>
        <v>573.1</v>
      </c>
      <c r="I425" s="167"/>
      <c r="J425" s="168">
        <f t="shared" ref="J425:J434" si="162">P$1</f>
        <v>1</v>
      </c>
      <c r="K425" s="169">
        <f t="shared" si="160"/>
        <v>573.1</v>
      </c>
      <c r="L425" s="170">
        <f>IFERROR(VLOOKUP(C425,元件库!$B:$O,10,FALSE),"1.00")</f>
        <v>0.55000000000000004</v>
      </c>
      <c r="M425" s="171">
        <f>IFERROR(VLOOKUP(C425,元件库!$B:$O,11,FALSE),"")</f>
        <v>1042</v>
      </c>
      <c r="N425" s="172" t="str">
        <f t="shared" ca="1" si="161"/>
        <v/>
      </c>
      <c r="P425" s="161"/>
    </row>
    <row r="426" spans="1:19" s="173" customFormat="1" ht="16.5" customHeight="1" x14ac:dyDescent="0.2">
      <c r="A426" s="38">
        <f>COUNTIF($J$1:J426,"!")</f>
        <v>27</v>
      </c>
      <c r="B426" s="163" t="str">
        <f>IFERROR(VLOOKUP(C426,元件库!$B:$O,3,FALSE),"")</f>
        <v>塑壳断路器</v>
      </c>
      <c r="C426" s="164" t="s">
        <v>3131</v>
      </c>
      <c r="D426" s="165" t="str">
        <f>IFERROR(VLOOKUP(C426,元件库!$B:$O,2,FALSE),"")</f>
        <v>吉坤电气</v>
      </c>
      <c r="E426" s="166" t="str">
        <f t="shared" si="157"/>
        <v>只</v>
      </c>
      <c r="F426" s="166">
        <v>5</v>
      </c>
      <c r="G426" s="42">
        <f t="shared" si="158"/>
        <v>329</v>
      </c>
      <c r="H426" s="42">
        <f t="shared" si="159"/>
        <v>1645</v>
      </c>
      <c r="I426" s="167"/>
      <c r="J426" s="168">
        <f t="shared" si="162"/>
        <v>1</v>
      </c>
      <c r="K426" s="169">
        <f t="shared" si="160"/>
        <v>329</v>
      </c>
      <c r="L426" s="170">
        <f>IFERROR(VLOOKUP(C426,元件库!$B:$O,10,FALSE),"1.00")</f>
        <v>1</v>
      </c>
      <c r="M426" s="171">
        <f>IFERROR(VLOOKUP(C426,元件库!$B:$O,11,FALSE),"")</f>
        <v>329</v>
      </c>
      <c r="N426" s="172" t="str">
        <f t="shared" ca="1" si="161"/>
        <v/>
      </c>
      <c r="P426" s="161"/>
    </row>
    <row r="427" spans="1:19" s="173" customFormat="1" ht="16.5" customHeight="1" x14ac:dyDescent="0.2">
      <c r="A427" s="38">
        <f>COUNTIF($J$1:J427,"!")</f>
        <v>27</v>
      </c>
      <c r="B427" s="163" t="str">
        <f>IFERROR(VLOOKUP(C427,元件库!$B:$O,3,FALSE),"")</f>
        <v/>
      </c>
      <c r="C427" s="164" t="s">
        <v>3151</v>
      </c>
      <c r="D427" s="165" t="str">
        <f>IFERROR(VLOOKUP(C427,元件库!$B:$O,2,FALSE),"")</f>
        <v/>
      </c>
      <c r="E427" s="166" t="str">
        <f t="shared" si="157"/>
        <v>只</v>
      </c>
      <c r="F427" s="166">
        <v>3</v>
      </c>
      <c r="G427" s="42" t="str">
        <f t="shared" si="158"/>
        <v/>
      </c>
      <c r="H427" s="42" t="str">
        <f t="shared" si="159"/>
        <v/>
      </c>
      <c r="I427" s="167"/>
      <c r="J427" s="168">
        <f t="shared" si="162"/>
        <v>1</v>
      </c>
      <c r="K427" s="169" t="str">
        <f t="shared" si="160"/>
        <v/>
      </c>
      <c r="L427" s="170" t="str">
        <f>IFERROR(VLOOKUP(C427,元件库!$B:$O,10,FALSE),"1.00")</f>
        <v>1.00</v>
      </c>
      <c r="M427" s="171" t="str">
        <f>IFERROR(VLOOKUP(C427,元件库!$B:$O,11,FALSE),"")</f>
        <v/>
      </c>
      <c r="N427" s="172" t="str">
        <f t="shared" ca="1" si="161"/>
        <v/>
      </c>
      <c r="P427" s="161"/>
    </row>
    <row r="428" spans="1:19" s="173" customFormat="1" ht="16.5" customHeight="1" x14ac:dyDescent="0.2">
      <c r="A428" s="38">
        <f>COUNTIF($J$1:J428,"!")</f>
        <v>27</v>
      </c>
      <c r="B428" s="163" t="str">
        <f>IFERROR(VLOOKUP(C428,元件库!$B:$O,3,FALSE),"")</f>
        <v>电流.电压表</v>
      </c>
      <c r="C428" s="164" t="s">
        <v>1899</v>
      </c>
      <c r="D428" s="165" t="str">
        <f>IFERROR(VLOOKUP(C428,元件库!$B:$O,2,FALSE),"")</f>
        <v>精益联合集团</v>
      </c>
      <c r="E428" s="166" t="str">
        <f t="shared" si="157"/>
        <v>只</v>
      </c>
      <c r="F428" s="166">
        <v>3</v>
      </c>
      <c r="G428" s="42">
        <f t="shared" si="158"/>
        <v>13.750000000000002</v>
      </c>
      <c r="H428" s="42">
        <f t="shared" si="159"/>
        <v>41.250000000000007</v>
      </c>
      <c r="I428" s="167"/>
      <c r="J428" s="168">
        <f t="shared" si="162"/>
        <v>1</v>
      </c>
      <c r="K428" s="169">
        <f t="shared" si="160"/>
        <v>13.750000000000002</v>
      </c>
      <c r="L428" s="170">
        <f>IFERROR(VLOOKUP(C428,元件库!$B:$O,10,FALSE),"1.00")</f>
        <v>0.55000000000000004</v>
      </c>
      <c r="M428" s="171">
        <f>IFERROR(VLOOKUP(C428,元件库!$B:$O,11,FALSE),"")</f>
        <v>25</v>
      </c>
      <c r="N428" s="172" t="str">
        <f t="shared" ca="1" si="161"/>
        <v/>
      </c>
      <c r="P428" s="161"/>
    </row>
    <row r="429" spans="1:19" s="173" customFormat="1" ht="16.5" customHeight="1" x14ac:dyDescent="0.2">
      <c r="A429" s="38">
        <f>COUNTIF($J$1:J429,"!")</f>
        <v>27</v>
      </c>
      <c r="B429" s="163" t="str">
        <f>IFERROR(VLOOKUP(C429,元件库!$B:$O,3,FALSE),"")</f>
        <v>指示灯</v>
      </c>
      <c r="C429" s="164" t="s">
        <v>3044</v>
      </c>
      <c r="D429" s="165" t="str">
        <f>IFERROR(VLOOKUP(C429,元件库!$B:$O,2,FALSE),"")</f>
        <v>精益联合集团</v>
      </c>
      <c r="E429" s="166" t="str">
        <f t="shared" si="157"/>
        <v>只</v>
      </c>
      <c r="F429" s="166">
        <v>5</v>
      </c>
      <c r="G429" s="42">
        <f t="shared" si="158"/>
        <v>2.3100000000000005</v>
      </c>
      <c r="H429" s="42">
        <f t="shared" si="159"/>
        <v>11.550000000000002</v>
      </c>
      <c r="I429" s="167"/>
      <c r="J429" s="168">
        <f t="shared" si="162"/>
        <v>1</v>
      </c>
      <c r="K429" s="169">
        <f t="shared" si="160"/>
        <v>2.3100000000000005</v>
      </c>
      <c r="L429" s="170">
        <f>IFERROR(VLOOKUP(C429,元件库!$B:$O,10,FALSE),"1.00")</f>
        <v>0.55000000000000004</v>
      </c>
      <c r="M429" s="171">
        <f>IFERROR(VLOOKUP(C429,元件库!$B:$O,11,FALSE),"")</f>
        <v>4.2</v>
      </c>
      <c r="N429" s="172" t="str">
        <f t="shared" ca="1" si="161"/>
        <v/>
      </c>
      <c r="P429" s="161"/>
    </row>
    <row r="430" spans="1:19" s="173" customFormat="1" ht="16.5" customHeight="1" x14ac:dyDescent="0.2">
      <c r="A430" s="38">
        <f>COUNTIF($J$1:J430,"!")</f>
        <v>27</v>
      </c>
      <c r="B430" s="163" t="str">
        <f>IFERROR(VLOOKUP(C430,元件库!$B:$O,3,FALSE),"")</f>
        <v>铜排</v>
      </c>
      <c r="C430" s="164" t="s">
        <v>1889</v>
      </c>
      <c r="D430" s="165" t="str">
        <f>IFERROR(VLOOKUP(C430,元件库!$B:$O,2,FALSE),"")</f>
        <v>欣利铜材</v>
      </c>
      <c r="E430" s="166" t="str">
        <f t="shared" si="157"/>
        <v>米</v>
      </c>
      <c r="F430" s="166">
        <v>6</v>
      </c>
      <c r="G430" s="42">
        <f t="shared" si="158"/>
        <v>182.62799999999999</v>
      </c>
      <c r="H430" s="42">
        <f t="shared" si="159"/>
        <v>1095.768</v>
      </c>
      <c r="I430" s="167"/>
      <c r="J430" s="168">
        <f t="shared" si="162"/>
        <v>1</v>
      </c>
      <c r="K430" s="169">
        <f t="shared" si="160"/>
        <v>182.62799999999999</v>
      </c>
      <c r="L430" s="170">
        <f>IFERROR(VLOOKUP(C430,元件库!$B:$O,10,FALSE),"1.00")</f>
        <v>1</v>
      </c>
      <c r="M430" s="171">
        <f>IFERROR(VLOOKUP(C430,元件库!$B:$O,11,FALSE),"")</f>
        <v>182.62799999999999</v>
      </c>
      <c r="N430" s="172" t="str">
        <f t="shared" ca="1" si="161"/>
        <v/>
      </c>
      <c r="P430" s="161"/>
    </row>
    <row r="431" spans="1:19" s="173" customFormat="1" ht="16.5" customHeight="1" x14ac:dyDescent="0.2">
      <c r="A431" s="38">
        <f>COUNTIF($J$1:J431,"!")</f>
        <v>27</v>
      </c>
      <c r="B431" s="163" t="str">
        <f>IFERROR(VLOOKUP(C431,元件库!$B:$O,3,FALSE),"")</f>
        <v>铜排</v>
      </c>
      <c r="C431" s="164" t="s">
        <v>1887</v>
      </c>
      <c r="D431" s="165" t="str">
        <f>IFERROR(VLOOKUP(C431,元件库!$B:$O,2,FALSE),"")</f>
        <v>欣利铜材</v>
      </c>
      <c r="E431" s="166" t="str">
        <f t="shared" si="157"/>
        <v>米</v>
      </c>
      <c r="F431" s="166">
        <v>6</v>
      </c>
      <c r="G431" s="42">
        <f t="shared" si="158"/>
        <v>76.094999999999999</v>
      </c>
      <c r="H431" s="42">
        <f t="shared" si="159"/>
        <v>456.57</v>
      </c>
      <c r="I431" s="167"/>
      <c r="J431" s="168">
        <f t="shared" si="162"/>
        <v>1</v>
      </c>
      <c r="K431" s="169">
        <f t="shared" si="160"/>
        <v>76.094999999999999</v>
      </c>
      <c r="L431" s="170">
        <f>IFERROR(VLOOKUP(C431,元件库!$B:$O,10,FALSE),"1.00")</f>
        <v>1</v>
      </c>
      <c r="M431" s="171">
        <f>IFERROR(VLOOKUP(C431,元件库!$B:$O,11,FALSE),"")</f>
        <v>76.094999999999999</v>
      </c>
      <c r="N431" s="172" t="str">
        <f t="shared" ca="1" si="161"/>
        <v/>
      </c>
      <c r="P431" s="161"/>
    </row>
    <row r="432" spans="1:19" s="175" customFormat="1" ht="16.5" customHeight="1" x14ac:dyDescent="0.2">
      <c r="A432" s="38">
        <f>COUNTIF($J$1:J432,"!")</f>
        <v>27</v>
      </c>
      <c r="B432" s="163" t="s">
        <v>2171</v>
      </c>
      <c r="C432" s="164" t="s">
        <v>2225</v>
      </c>
      <c r="D432" s="165" t="str">
        <f>IFERROR(VLOOKUP(C432,元件库!$B:$O,2,FALSE),"")</f>
        <v>欣利铜材</v>
      </c>
      <c r="E432" s="166" t="str">
        <f t="shared" si="157"/>
        <v>米</v>
      </c>
      <c r="F432" s="166">
        <f>1*(MID(O432,FIND("-",O432)+1,FIND("*",O432)-FIND("-",O432)-1)/1000*IF(B432="水平排",3,1))</f>
        <v>3.5999999999999996</v>
      </c>
      <c r="G432" s="42">
        <f t="shared" si="158"/>
        <v>324.67199999999997</v>
      </c>
      <c r="H432" s="42">
        <f t="shared" si="159"/>
        <v>1168.8191999999997</v>
      </c>
      <c r="I432" s="167"/>
      <c r="J432" s="168">
        <f t="shared" si="162"/>
        <v>1</v>
      </c>
      <c r="K432" s="169">
        <f t="shared" si="160"/>
        <v>324.67199999999997</v>
      </c>
      <c r="L432" s="170">
        <f>IFERROR(VLOOKUP(C432,元件库!$B:$O,10,FALSE),"1.00")</f>
        <v>1</v>
      </c>
      <c r="M432" s="171">
        <f>IFERROR(VLOOKUP(C432,元件库!$B:$O,11,FALSE),"")</f>
        <v>324.67199999999997</v>
      </c>
      <c r="N432" s="172" t="str">
        <f t="shared" ca="1" si="161"/>
        <v/>
      </c>
      <c r="O432" s="174" t="str">
        <f>O436</f>
        <v>GGD-1200*600*2000</v>
      </c>
    </row>
    <row r="433" spans="1:22" s="175" customFormat="1" ht="16.5" customHeight="1" x14ac:dyDescent="0.2">
      <c r="A433" s="38">
        <f>COUNTIF($J$1:J433,"!")</f>
        <v>27</v>
      </c>
      <c r="B433" s="163" t="s">
        <v>2725</v>
      </c>
      <c r="C433" s="164" t="s">
        <v>1889</v>
      </c>
      <c r="D433" s="165" t="str">
        <f>IFERROR(VLOOKUP(C433,元件库!$B:$O,2,FALSE),"")</f>
        <v>欣利铜材</v>
      </c>
      <c r="E433" s="166" t="str">
        <f t="shared" si="157"/>
        <v>米</v>
      </c>
      <c r="F433" s="166">
        <f>1*(MID(O433,FIND("-",O433)+1,FIND("*",O433)-FIND("-",O433)-1)/1000*IF(B433="水平排",3,1))</f>
        <v>1.2</v>
      </c>
      <c r="G433" s="42">
        <f t="shared" si="158"/>
        <v>182.62799999999999</v>
      </c>
      <c r="H433" s="42">
        <f t="shared" si="159"/>
        <v>219.15359999999998</v>
      </c>
      <c r="I433" s="167"/>
      <c r="J433" s="168">
        <f t="shared" si="162"/>
        <v>1</v>
      </c>
      <c r="K433" s="169">
        <f t="shared" si="160"/>
        <v>182.62799999999999</v>
      </c>
      <c r="L433" s="170">
        <f>IFERROR(VLOOKUP(C433,元件库!$B:$O,10,FALSE),"1.00")</f>
        <v>1</v>
      </c>
      <c r="M433" s="171">
        <f>IFERROR(VLOOKUP(C433,元件库!$B:$O,11,FALSE),"")</f>
        <v>182.62799999999999</v>
      </c>
      <c r="N433" s="172" t="str">
        <f t="shared" ca="1" si="161"/>
        <v/>
      </c>
      <c r="O433" s="176" t="str">
        <f>O436</f>
        <v>GGD-1200*600*2000</v>
      </c>
    </row>
    <row r="434" spans="1:22" s="175" customFormat="1" ht="16.5" customHeight="1" x14ac:dyDescent="0.2">
      <c r="A434" s="38">
        <f>COUNTIF($J$1:J434,"!")</f>
        <v>27</v>
      </c>
      <c r="B434" s="163" t="s">
        <v>2172</v>
      </c>
      <c r="C434" s="164" t="s">
        <v>1889</v>
      </c>
      <c r="D434" s="165" t="str">
        <f>IFERROR(VLOOKUP(C434,元件库!$B:$O,2,FALSE),"")</f>
        <v>欣利铜材</v>
      </c>
      <c r="E434" s="166" t="str">
        <f t="shared" si="157"/>
        <v>米</v>
      </c>
      <c r="F434" s="166">
        <f>1*(MID(O434,FIND("-",O434)+1,FIND("*",O434)-FIND("-",O434)-1)/1000*IF(B434="水平排",3,1))</f>
        <v>1.2</v>
      </c>
      <c r="G434" s="42">
        <f t="shared" si="158"/>
        <v>182.62799999999999</v>
      </c>
      <c r="H434" s="42">
        <f t="shared" si="159"/>
        <v>219.15359999999998</v>
      </c>
      <c r="I434" s="167"/>
      <c r="J434" s="168">
        <f t="shared" si="162"/>
        <v>1</v>
      </c>
      <c r="K434" s="169">
        <f t="shared" si="160"/>
        <v>182.62799999999999</v>
      </c>
      <c r="L434" s="170">
        <f>IFERROR(VLOOKUP(C434,元件库!$B:$O,10,FALSE),"1.00")</f>
        <v>1</v>
      </c>
      <c r="M434" s="171">
        <f>IFERROR(VLOOKUP(C434,元件库!$B:$O,11,FALSE),"")</f>
        <v>182.62799999999999</v>
      </c>
      <c r="N434" s="172" t="str">
        <f t="shared" ca="1" si="161"/>
        <v/>
      </c>
      <c r="O434" s="176" t="str">
        <f>O436</f>
        <v>GGD-1200*600*2000</v>
      </c>
    </row>
    <row r="435" spans="1:22" ht="16.5" customHeight="1" x14ac:dyDescent="0.2">
      <c r="A435" s="38">
        <f>COUNTIF($J$1:J435,"!")</f>
        <v>27</v>
      </c>
      <c r="B435" s="177" t="s">
        <v>107</v>
      </c>
      <c r="C435" s="164"/>
      <c r="D435" s="166"/>
      <c r="E435" s="166"/>
      <c r="F435" s="166"/>
      <c r="G435" s="42"/>
      <c r="H435" s="42"/>
      <c r="I435" s="178">
        <f>SUM(H424:H435)</f>
        <v>7280.3643999999995</v>
      </c>
      <c r="J435" s="168"/>
      <c r="K435" s="169"/>
      <c r="L435" s="170"/>
      <c r="M435" s="171"/>
      <c r="O435" s="174"/>
      <c r="P435" s="162"/>
    </row>
    <row r="436" spans="1:22" ht="16.5" customHeight="1" x14ac:dyDescent="0.2">
      <c r="A436" s="38">
        <f>COUNTIF($J$1:J436,"!")</f>
        <v>27</v>
      </c>
      <c r="B436" s="179" t="s">
        <v>47</v>
      </c>
      <c r="C436" s="164"/>
      <c r="D436" s="166"/>
      <c r="E436" s="166"/>
      <c r="F436" s="166"/>
      <c r="G436" s="42"/>
      <c r="H436" s="42">
        <f>IFERROR(J436*K436,"")</f>
        <v>800</v>
      </c>
      <c r="I436" s="167"/>
      <c r="J436" s="168">
        <f>P$1</f>
        <v>1</v>
      </c>
      <c r="K436" s="169">
        <f>L436*M436</f>
        <v>800</v>
      </c>
      <c r="L436" s="170">
        <f>F424</f>
        <v>1</v>
      </c>
      <c r="M436" s="171">
        <f>IF(B436="成套费",IF(ISNUMBER(FIND("GGD",O436)),800,IF(OR(ISNUMBER(FIND("GCS",O436)),ISNUMBER(FIND("GCK",O436)),ISNUMBER(FIND("MNS",O436))),1000,"")),IF(B436="辅件费",IF(VLOOKUP(A437,A$1:B436,2,FALSE)="低压电容柜",500,300),""))</f>
        <v>800</v>
      </c>
      <c r="O436" s="180" t="str">
        <f>C424</f>
        <v>GGD-1200*600*2000</v>
      </c>
    </row>
    <row r="437" spans="1:22" s="161" customFormat="1" ht="16.5" customHeight="1" x14ac:dyDescent="0.2">
      <c r="A437" s="38">
        <f>COUNTIF($J$1:J437,"!")</f>
        <v>27</v>
      </c>
      <c r="B437" s="179" t="s">
        <v>49</v>
      </c>
      <c r="C437" s="164"/>
      <c r="D437" s="166"/>
      <c r="E437" s="166"/>
      <c r="F437" s="166"/>
      <c r="G437" s="42"/>
      <c r="H437" s="42">
        <f>IFERROR(J437*K437,"")</f>
        <v>300</v>
      </c>
      <c r="I437" s="167"/>
      <c r="J437" s="168">
        <f>P$1</f>
        <v>1</v>
      </c>
      <c r="K437" s="169">
        <f>L437*M437</f>
        <v>300</v>
      </c>
      <c r="L437" s="170">
        <f>F424</f>
        <v>1</v>
      </c>
      <c r="M437" s="171">
        <f>IF(B437="成套费",IF(ISNUMBER(FIND("GGD",O437)),800,IF(OR(ISNUMBER(FIND("GCS",O437)),ISNUMBER(FIND("GCK",O437)),ISNUMBER(FIND("MNS",O437))),1000,"")),IF(B437="辅件费",IF(VLOOKUP(A437,A$1:B437,2,FALSE)="低压电容柜",500,300),""))</f>
        <v>300</v>
      </c>
      <c r="N437" s="181"/>
      <c r="O437" s="182" t="str">
        <f>O436</f>
        <v>GGD-1200*600*2000</v>
      </c>
      <c r="R437" s="162"/>
      <c r="S437" s="162"/>
    </row>
    <row r="438" spans="1:22" s="161" customFormat="1" ht="16.5" customHeight="1" x14ac:dyDescent="0.2">
      <c r="A438" s="38">
        <f>COUNTIF($J$1:J438,"!")</f>
        <v>27</v>
      </c>
      <c r="B438" s="179" t="s">
        <v>79</v>
      </c>
      <c r="C438" s="164"/>
      <c r="D438" s="166"/>
      <c r="E438" s="166"/>
      <c r="F438" s="166"/>
      <c r="G438" s="42"/>
      <c r="H438" s="42">
        <f>K438*L438</f>
        <v>1005.6437279999998</v>
      </c>
      <c r="I438" s="167"/>
      <c r="J438" s="168"/>
      <c r="K438" s="169">
        <f>SUM(H435:H437)+I435</f>
        <v>8380.3643999999986</v>
      </c>
      <c r="L438" s="279">
        <f>R$1</f>
        <v>0.12</v>
      </c>
      <c r="M438" s="171"/>
      <c r="N438" s="181"/>
      <c r="O438" s="162"/>
      <c r="R438" s="162"/>
      <c r="S438" s="162"/>
    </row>
    <row r="439" spans="1:22" ht="16.5" customHeight="1" x14ac:dyDescent="0.2">
      <c r="A439" s="38">
        <f>COUNTIF($J$1:J439,"!")</f>
        <v>27</v>
      </c>
      <c r="B439" s="179" t="s">
        <v>108</v>
      </c>
      <c r="C439" s="164"/>
      <c r="D439" s="166"/>
      <c r="E439" s="166"/>
      <c r="F439" s="166"/>
      <c r="G439" s="184"/>
      <c r="H439" s="42">
        <f>K439*L439</f>
        <v>281.58024383999992</v>
      </c>
      <c r="I439" s="167"/>
      <c r="J439" s="168"/>
      <c r="K439" s="169">
        <f>H438+K438</f>
        <v>9386.0081279999977</v>
      </c>
      <c r="L439" s="279">
        <f>T$1</f>
        <v>0.03</v>
      </c>
      <c r="M439" s="171"/>
      <c r="O439" s="162"/>
    </row>
    <row r="440" spans="1:22" ht="16.5" customHeight="1" x14ac:dyDescent="0.15">
      <c r="A440" s="32">
        <f>COUNTIF($J$1:J440,"!")</f>
        <v>28</v>
      </c>
      <c r="B440" s="33" t="s">
        <v>159</v>
      </c>
      <c r="C440" s="277" t="str">
        <f>LOOKUP(0,0/((RIGHT(B382:B440,3)="变压器")*(D382:D440=D440)),N382:N440)&amp;"10/0.4"</f>
        <v>630KVA 10/0.4</v>
      </c>
      <c r="D440" s="159" t="s">
        <v>3154</v>
      </c>
      <c r="E440" s="34" t="s">
        <v>23</v>
      </c>
      <c r="F440" s="159">
        <v>1</v>
      </c>
      <c r="G440" s="36">
        <f>ROUND(SUM(H441:H449),0)</f>
        <v>26384</v>
      </c>
      <c r="H440" s="160" t="str">
        <f>IF(ISNUMBER(FIND(" ",C441)),MID(C441,1,FIND(" ",C441)-1),IF(ISNUMBER(FIND("电容柜",B440)),"GGJ",MID(C441,1,FIND("-",C441)-1)))</f>
        <v>YBP</v>
      </c>
      <c r="I440" s="47" t="str">
        <f>MID(C441,IF(LEN(C441)-LEN(H440)&gt;3,LEN(H440)+2,1),30)</f>
        <v>4400*2300*2650</v>
      </c>
      <c r="J440" s="48" t="s">
        <v>24</v>
      </c>
      <c r="K440" s="49"/>
      <c r="L440" s="50"/>
      <c r="M440" s="51"/>
      <c r="O440" s="297"/>
      <c r="P440" s="161">
        <v>1650</v>
      </c>
      <c r="Q440" s="162">
        <v>2900</v>
      </c>
      <c r="R440" s="157">
        <v>1900</v>
      </c>
      <c r="S440" s="162">
        <v>1850</v>
      </c>
      <c r="T440" s="157">
        <v>3000</v>
      </c>
      <c r="U440" s="157">
        <v>2400</v>
      </c>
      <c r="V440" s="157">
        <v>3600</v>
      </c>
    </row>
    <row r="441" spans="1:22" ht="16.5" customHeight="1" x14ac:dyDescent="0.2">
      <c r="A441" s="38">
        <f>COUNTIF($J$1:J441,"!")</f>
        <v>28</v>
      </c>
      <c r="B441" s="163" t="s">
        <v>25</v>
      </c>
      <c r="C441" s="164" t="s">
        <v>3152</v>
      </c>
      <c r="D441" s="165" t="s">
        <v>3242</v>
      </c>
      <c r="E441" s="166" t="s">
        <v>29</v>
      </c>
      <c r="F441" s="166">
        <v>1</v>
      </c>
      <c r="G441" s="42">
        <f>IFERROR(J441*K441,"")</f>
        <v>15863.099999999999</v>
      </c>
      <c r="H441" s="42">
        <f>IFERROR(G441*F441,"")</f>
        <v>15863.099999999999</v>
      </c>
      <c r="I441" s="167"/>
      <c r="J441" s="168">
        <f>P$1</f>
        <v>1</v>
      </c>
      <c r="K441" s="169">
        <f>IFERROR(M441*L441,"")</f>
        <v>15863.099999999999</v>
      </c>
      <c r="L441" s="170">
        <v>0.95</v>
      </c>
      <c r="M441" s="171">
        <f>IFERROR(Q441*R441,"")</f>
        <v>16698</v>
      </c>
      <c r="N441" s="172" t="str">
        <f ca="1">IF(AND(ISNUMBER(FIND("IF",_xlfn.FORMULATEXT(L441))),ISNUMBER(FIND("IF",_xlfn.FORMULATEXT(M441)))),"","值")</f>
        <v>值</v>
      </c>
      <c r="O441" s="174" t="str">
        <f>O445</f>
        <v>YBP-4400*2300*2650</v>
      </c>
      <c r="P441" s="157" t="s">
        <v>2209</v>
      </c>
      <c r="Q441" s="300">
        <f>IF(P441=304,V440,IF(P441=201,T440,IF(P441="彩钢板",P440,IF(P441="敷铝锌贴木条",Q440,IF(P441="金属雕花",U440,IF(P441="GRC",R440,IF(P441="水泥变",S440,)))))))</f>
        <v>1650</v>
      </c>
      <c r="R441" s="161">
        <f>(MID(C441,FIND("-",C441)+1,FIND("*",C441)-FIND("-",C441)-1)*MID(C441,FIND("*",C441)+1,FIND("*",MID(C441,FIND("*",C441)+1,30))-1))/1000000*IF(ROUND(RIGHT(C441,4),0)&gt;2650,1/2.65*2.95,1)</f>
        <v>10.119999999999999</v>
      </c>
    </row>
    <row r="442" spans="1:22" s="175" customFormat="1" ht="16.5" customHeight="1" x14ac:dyDescent="0.2">
      <c r="A442" s="38">
        <f>COUNTIF($J$1:J442,"!")</f>
        <v>28</v>
      </c>
      <c r="B442" s="163" t="str">
        <f>IFERROR(VLOOKUP(C442,元件库!$B:$O,3,FALSE),"")</f>
        <v>铜排</v>
      </c>
      <c r="C442" s="164" t="s">
        <v>1889</v>
      </c>
      <c r="D442" s="165" t="str">
        <f>IFERROR(VLOOKUP(C442,元件库!$B:$O,2,FALSE),"")</f>
        <v>欣利铜材</v>
      </c>
      <c r="E442" s="166" t="str">
        <f>IF(D442="欣利铜材","米",IF(B442="氧化锌避雷器","组","只"))</f>
        <v>米</v>
      </c>
      <c r="F442" s="166">
        <v>8</v>
      </c>
      <c r="G442" s="42">
        <f>IFERROR(J442*K442,"")</f>
        <v>182.62799999999999</v>
      </c>
      <c r="H442" s="42">
        <f>IFERROR(G442*F442,"")</f>
        <v>1461.0239999999999</v>
      </c>
      <c r="I442" s="167"/>
      <c r="J442" s="168">
        <f>P$1</f>
        <v>1</v>
      </c>
      <c r="K442" s="169">
        <f>IFERROR(M442*L442,"")</f>
        <v>182.62799999999999</v>
      </c>
      <c r="L442" s="170">
        <f>IFERROR(VLOOKUP(C442,元件库!$B:$O,10,FALSE),"1.00")</f>
        <v>1</v>
      </c>
      <c r="M442" s="171">
        <f>IFERROR(VLOOKUP(C442,元件库!$B:$O,11,FALSE),"")</f>
        <v>182.62799999999999</v>
      </c>
      <c r="N442" s="172" t="str">
        <f ca="1">IF(AND(ISNUMBER(FIND("IF",_xlfn.FORMULATEXT(L442))),ISNUMBER(FIND("IF",_xlfn.FORMULATEXT(M442)))),"","值")</f>
        <v/>
      </c>
      <c r="O442" s="174" t="str">
        <f>O445</f>
        <v>YBP-4400*2300*2650</v>
      </c>
    </row>
    <row r="443" spans="1:22" s="173" customFormat="1" ht="16.5" customHeight="1" x14ac:dyDescent="0.2">
      <c r="A443" s="38">
        <f>COUNTIF($J$1:J443,"!")</f>
        <v>28</v>
      </c>
      <c r="B443" s="163" t="str">
        <f>IFERROR(VLOOKUP(C443,元件库!$B:$O,3,FALSE),"")</f>
        <v>铜排</v>
      </c>
      <c r="C443" s="164" t="s">
        <v>2225</v>
      </c>
      <c r="D443" s="165" t="str">
        <f>IFERROR(VLOOKUP(C443,元件库!$B:$O,2,FALSE),"")</f>
        <v>欣利铜材</v>
      </c>
      <c r="E443" s="166" t="s">
        <v>39</v>
      </c>
      <c r="F443" s="166">
        <v>10</v>
      </c>
      <c r="G443" s="42">
        <f>IFERROR(J443*K443,"")</f>
        <v>324.67199999999997</v>
      </c>
      <c r="H443" s="42">
        <f>IFERROR(G443*F443,"")</f>
        <v>3246.72</v>
      </c>
      <c r="I443" s="167"/>
      <c r="J443" s="168">
        <f>P$1</f>
        <v>1</v>
      </c>
      <c r="K443" s="169">
        <f>IFERROR(M443*L443,"")</f>
        <v>324.67199999999997</v>
      </c>
      <c r="L443" s="170">
        <f>IFERROR(VLOOKUP(C443,元件库!$B:$O,10,FALSE),"1.00")</f>
        <v>1</v>
      </c>
      <c r="M443" s="171">
        <f>IFERROR(VLOOKUP(C443,元件库!$B:$O,11,FALSE),"")</f>
        <v>324.67199999999997</v>
      </c>
      <c r="N443" s="172" t="str">
        <f ca="1">IF(AND(ISNUMBER(FIND("IF",_xlfn.FORMULATEXT(L443))),ISNUMBER(FIND("IF",_xlfn.FORMULATEXT(M443)))),"","值")</f>
        <v/>
      </c>
      <c r="O443" s="174" t="str">
        <f>O445</f>
        <v>YBP-4400*2300*2650</v>
      </c>
      <c r="P443" s="161"/>
    </row>
    <row r="444" spans="1:22" ht="16.5" customHeight="1" x14ac:dyDescent="0.2">
      <c r="A444" s="38">
        <f>COUNTIF($J$1:J444,"!")</f>
        <v>28</v>
      </c>
      <c r="B444" s="177" t="s">
        <v>107</v>
      </c>
      <c r="C444" s="164"/>
      <c r="D444" s="166"/>
      <c r="E444" s="166"/>
      <c r="F444" s="166"/>
      <c r="G444" s="42"/>
      <c r="H444" s="42"/>
      <c r="I444" s="178">
        <f>SUM(H441:H444)</f>
        <v>20570.844000000001</v>
      </c>
      <c r="J444" s="168"/>
      <c r="K444" s="169"/>
      <c r="L444" s="170"/>
      <c r="M444" s="171"/>
      <c r="O444" s="174"/>
      <c r="P444" s="162"/>
      <c r="Q444" s="157"/>
    </row>
    <row r="445" spans="1:22" ht="16.5" customHeight="1" x14ac:dyDescent="0.2">
      <c r="A445" s="38">
        <f>COUNTIF($J$1:J445,"!")</f>
        <v>28</v>
      </c>
      <c r="B445" s="179" t="s">
        <v>47</v>
      </c>
      <c r="C445" s="164"/>
      <c r="D445" s="166"/>
      <c r="E445" s="166"/>
      <c r="F445" s="166"/>
      <c r="G445" s="42"/>
      <c r="H445" s="42">
        <f>IFERROR(J445*K445*L445,"")</f>
        <v>1500</v>
      </c>
      <c r="I445" s="167"/>
      <c r="J445" s="168">
        <f>P$1</f>
        <v>1</v>
      </c>
      <c r="K445" s="169">
        <f>IFERROR(M445*L445,"")</f>
        <v>1500</v>
      </c>
      <c r="L445" s="170" t="str">
        <f>IFERROR(VLOOKUP(C445,元件库!$B:$O,10,FALSE),"1.00")</f>
        <v>1.00</v>
      </c>
      <c r="M445" s="171">
        <v>1500</v>
      </c>
      <c r="O445" s="174" t="str">
        <f>LOOKUP(0,0/((A440:A444=A445)*(B440:B444="壳体W*D*H")),C440:C444)</f>
        <v>YBP-4400*2300*2650</v>
      </c>
    </row>
    <row r="446" spans="1:22" s="161" customFormat="1" ht="16.5" customHeight="1" x14ac:dyDescent="0.2">
      <c r="A446" s="38">
        <f>COUNTIF($J$1:J446,"!")</f>
        <v>28</v>
      </c>
      <c r="B446" s="179" t="s">
        <v>49</v>
      </c>
      <c r="C446" s="164"/>
      <c r="D446" s="166"/>
      <c r="E446" s="166"/>
      <c r="F446" s="166"/>
      <c r="G446" s="42"/>
      <c r="H446" s="42">
        <f>IFERROR(J446*K446*L446,"")</f>
        <v>500</v>
      </c>
      <c r="I446" s="167"/>
      <c r="J446" s="168">
        <f>P$1</f>
        <v>1</v>
      </c>
      <c r="K446" s="169">
        <f>IFERROR(M446*L446,"")</f>
        <v>500</v>
      </c>
      <c r="L446" s="170" t="str">
        <f>IFERROR(VLOOKUP(C446,元件库!$B:$O,10,FALSE),"1.00")</f>
        <v>1.00</v>
      </c>
      <c r="M446" s="171">
        <v>500</v>
      </c>
      <c r="N446" s="181"/>
      <c r="O446" s="174" t="str">
        <f>O445</f>
        <v>YBP-4400*2300*2650</v>
      </c>
      <c r="Q446" s="162"/>
      <c r="R446" s="162"/>
      <c r="S446" s="162"/>
    </row>
    <row r="447" spans="1:22" s="161" customFormat="1" ht="16.5" customHeight="1" x14ac:dyDescent="0.2">
      <c r="A447" s="38">
        <f>COUNTIF($J$1:J447,"!")</f>
        <v>28</v>
      </c>
      <c r="B447" s="179" t="s">
        <v>50</v>
      </c>
      <c r="C447" s="164"/>
      <c r="D447" s="166"/>
      <c r="E447" s="166"/>
      <c r="F447" s="166"/>
      <c r="G447" s="42"/>
      <c r="H447" s="42">
        <f>IFERROR(J447*K447*L447,"")</f>
        <v>300</v>
      </c>
      <c r="I447" s="167"/>
      <c r="J447" s="168">
        <f>P$1</f>
        <v>1</v>
      </c>
      <c r="K447" s="169">
        <f>IFERROR(M447*L447,"")</f>
        <v>300</v>
      </c>
      <c r="L447" s="170" t="str">
        <f>IFERROR(VLOOKUP(C447,元件库!$B:$O,10,FALSE),"1.00")</f>
        <v>1.00</v>
      </c>
      <c r="M447" s="171">
        <v>300</v>
      </c>
      <c r="N447" s="181"/>
      <c r="O447" s="174"/>
      <c r="Q447" s="162"/>
      <c r="R447" s="162"/>
      <c r="S447" s="162"/>
    </row>
    <row r="448" spans="1:22" s="161" customFormat="1" ht="16.5" customHeight="1" x14ac:dyDescent="0.2">
      <c r="A448" s="38">
        <f>COUNTIF($J$1:J448,"!")</f>
        <v>28</v>
      </c>
      <c r="B448" s="179" t="s">
        <v>79</v>
      </c>
      <c r="C448" s="164"/>
      <c r="D448" s="166"/>
      <c r="E448" s="166"/>
      <c r="F448" s="166"/>
      <c r="G448" s="42"/>
      <c r="H448" s="42">
        <f>K448*L448</f>
        <v>2744.50128</v>
      </c>
      <c r="I448" s="167"/>
      <c r="J448" s="168"/>
      <c r="K448" s="169">
        <f>SUM(H445:H447)+I444</f>
        <v>22870.844000000001</v>
      </c>
      <c r="L448" s="279">
        <f>R$1</f>
        <v>0.12</v>
      </c>
      <c r="M448" s="171"/>
      <c r="N448" s="181"/>
      <c r="O448" s="174"/>
      <c r="Q448" s="162"/>
      <c r="R448" s="162"/>
      <c r="S448" s="162"/>
    </row>
    <row r="449" spans="1:23" ht="16.5" customHeight="1" x14ac:dyDescent="0.2">
      <c r="A449" s="38">
        <f>COUNTIF($J$1:J449,"!")</f>
        <v>28</v>
      </c>
      <c r="B449" s="179" t="s">
        <v>108</v>
      </c>
      <c r="C449" s="164"/>
      <c r="D449" s="166"/>
      <c r="E449" s="166"/>
      <c r="F449" s="166"/>
      <c r="G449" s="184"/>
      <c r="H449" s="42">
        <f>K449*L449</f>
        <v>768.46035840000002</v>
      </c>
      <c r="I449" s="167"/>
      <c r="J449" s="168"/>
      <c r="K449" s="169">
        <f>H448+K448</f>
        <v>25615.345280000001</v>
      </c>
      <c r="L449" s="279">
        <f>T$1</f>
        <v>0.03</v>
      </c>
      <c r="M449" s="171"/>
    </row>
    <row r="450" spans="1:23" s="162" customFormat="1" ht="16.5" customHeight="1" x14ac:dyDescent="0.15">
      <c r="A450" s="32">
        <f>COUNTIF($J$1:J450,"!")</f>
        <v>29</v>
      </c>
      <c r="B450" s="33" t="s">
        <v>1895</v>
      </c>
      <c r="C450" s="296" t="s">
        <v>3159</v>
      </c>
      <c r="D450" s="159" t="s">
        <v>3160</v>
      </c>
      <c r="E450" s="34" t="s">
        <v>23</v>
      </c>
      <c r="F450" s="159">
        <v>1</v>
      </c>
      <c r="G450" s="36">
        <f>ROUND(SUM(H451:H472),0)</f>
        <v>7552</v>
      </c>
      <c r="H450" s="160" t="str">
        <f>IF(ISNUMBER(FIND(" ",C451)),MID(C451,1,FIND(" ",C451)-1),IF(ISNUMBER(FIND("电容柜",B450)),"GGJ",MID(C451,1,FIND("-",C451)-1)))</f>
        <v>HXGN</v>
      </c>
      <c r="I450" s="47" t="str">
        <f>MID(C451,IF(LEN(C451)-LEN(H450)&gt;3,LEN(H450)+2,1),30)</f>
        <v>500*900*2000</v>
      </c>
      <c r="J450" s="48" t="s">
        <v>24</v>
      </c>
      <c r="K450" s="49"/>
      <c r="L450" s="50"/>
      <c r="M450" s="51"/>
      <c r="N450" s="172"/>
      <c r="O450" s="161"/>
    </row>
    <row r="451" spans="1:23" s="162" customFormat="1" ht="16.5" customHeight="1" x14ac:dyDescent="0.2">
      <c r="A451" s="38">
        <f>COUNTIF($J$1:J451,"!")</f>
        <v>29</v>
      </c>
      <c r="B451" s="163" t="str">
        <f>IFERROR(VLOOKUP(C451,元件库!$B:$O,3,FALSE),"")</f>
        <v>壳体W*D*H</v>
      </c>
      <c r="C451" s="164" t="s">
        <v>3120</v>
      </c>
      <c r="D451" s="165" t="str">
        <f>IFERROR(VLOOKUP(C451,元件库!$B:$O,2,FALSE),"")</f>
        <v>精益联合集团</v>
      </c>
      <c r="E451" s="166" t="str">
        <f t="shared" ref="E451:E458" si="163">IF(D451="欣利铜材","米",IF(B451="氧化锌避雷器","组","只"))</f>
        <v>只</v>
      </c>
      <c r="F451" s="166">
        <v>1</v>
      </c>
      <c r="G451" s="42">
        <f t="shared" ref="G451:G458" si="164">IFERROR(J451*K451,"")</f>
        <v>1500</v>
      </c>
      <c r="H451" s="42">
        <f t="shared" ref="H451:H458" si="165">IFERROR(G451*F451,"")</f>
        <v>1500</v>
      </c>
      <c r="I451" s="167"/>
      <c r="J451" s="168">
        <f t="shared" ref="J451:J458" si="166">P$1</f>
        <v>1</v>
      </c>
      <c r="K451" s="169">
        <f t="shared" ref="K451:K458" si="167">IFERROR(M451*L451,"")</f>
        <v>1500</v>
      </c>
      <c r="L451" s="170">
        <f>IFERROR(VLOOKUP(C451,元件库!$B:$O,10,FALSE),"1.00")</f>
        <v>1</v>
      </c>
      <c r="M451" s="171">
        <f>IFERROR(VLOOKUP(C451,元件库!$B:$O,11,FALSE),"")</f>
        <v>1500</v>
      </c>
      <c r="N451" s="172" t="str">
        <f t="shared" ref="N451:N467" ca="1" si="168">IF(AND(ISNUMBER(FIND("IF",_xlfn.FORMULATEXT(L451))),ISNUMBER(FIND("IF",_xlfn.FORMULATEXT(M451)))),"","值")</f>
        <v/>
      </c>
      <c r="O451" s="157"/>
      <c r="P451" s="157"/>
    </row>
    <row r="452" spans="1:23" s="175" customFormat="1" ht="16.5" customHeight="1" x14ac:dyDescent="0.2">
      <c r="A452" s="38">
        <f>COUNTIF($J$1:J452,"!")</f>
        <v>29</v>
      </c>
      <c r="B452" s="163" t="str">
        <f>IFERROR(VLOOKUP(C452,元件库!$B:$O,3,FALSE),"")</f>
        <v>高压熔断器</v>
      </c>
      <c r="C452" s="164" t="s">
        <v>3041</v>
      </c>
      <c r="D452" s="165" t="str">
        <f>IFERROR(VLOOKUP(C452,元件库!$B:$O,2,FALSE),"")</f>
        <v>上海智广</v>
      </c>
      <c r="E452" s="166" t="str">
        <f t="shared" si="163"/>
        <v>只</v>
      </c>
      <c r="F452" s="166">
        <v>3</v>
      </c>
      <c r="G452" s="42">
        <f t="shared" si="164"/>
        <v>60</v>
      </c>
      <c r="H452" s="42">
        <f t="shared" si="165"/>
        <v>180</v>
      </c>
      <c r="I452" s="167"/>
      <c r="J452" s="168">
        <f t="shared" si="166"/>
        <v>1</v>
      </c>
      <c r="K452" s="169">
        <f t="shared" si="167"/>
        <v>60</v>
      </c>
      <c r="L452" s="170">
        <f>IFERROR(VLOOKUP(C452,元件库!$B:$O,10,FALSE),"1.00")</f>
        <v>1</v>
      </c>
      <c r="M452" s="171">
        <f>IFERROR(VLOOKUP(C452,元件库!$B:$O,11,FALSE),"")</f>
        <v>60</v>
      </c>
      <c r="N452" s="172" t="str">
        <f t="shared" ca="1" si="168"/>
        <v/>
      </c>
      <c r="O452" s="157"/>
      <c r="W452" s="162"/>
    </row>
    <row r="453" spans="1:23" s="175" customFormat="1" ht="16.5" customHeight="1" x14ac:dyDescent="0.2">
      <c r="A453" s="38">
        <f>COUNTIF($J$1:J453,"!")</f>
        <v>29</v>
      </c>
      <c r="B453" s="163" t="str">
        <f>IFERROR(VLOOKUP(C453,元件库!$B:$O,3,FALSE),"")</f>
        <v>电压互感器</v>
      </c>
      <c r="C453" s="164" t="s">
        <v>2135</v>
      </c>
      <c r="D453" s="165" t="str">
        <f>IFERROR(VLOOKUP(C453,元件库!$B:$O,2,FALSE),"")</f>
        <v>浙江泰成</v>
      </c>
      <c r="E453" s="166" t="str">
        <f t="shared" si="163"/>
        <v>只</v>
      </c>
      <c r="F453" s="166">
        <v>2</v>
      </c>
      <c r="G453" s="42">
        <f t="shared" si="164"/>
        <v>963</v>
      </c>
      <c r="H453" s="42">
        <f t="shared" si="165"/>
        <v>1926</v>
      </c>
      <c r="I453" s="167"/>
      <c r="J453" s="168">
        <f t="shared" si="166"/>
        <v>1</v>
      </c>
      <c r="K453" s="169">
        <f t="shared" si="167"/>
        <v>963</v>
      </c>
      <c r="L453" s="170">
        <f>IFERROR(VLOOKUP(C453,元件库!$B:$O,10,FALSE),"1.00")</f>
        <v>1</v>
      </c>
      <c r="M453" s="171">
        <f>IFERROR(VLOOKUP(C453,元件库!$B:$O,11,FALSE),"")</f>
        <v>963</v>
      </c>
      <c r="N453" s="172" t="str">
        <f t="shared" ca="1" si="168"/>
        <v/>
      </c>
      <c r="O453" s="157"/>
      <c r="W453" s="162"/>
    </row>
    <row r="454" spans="1:23" s="175" customFormat="1" ht="16.5" customHeight="1" x14ac:dyDescent="0.2">
      <c r="A454" s="38">
        <f>COUNTIF($J$1:J454,"!")</f>
        <v>29</v>
      </c>
      <c r="B454" s="163" t="str">
        <f>IFERROR(VLOOKUP(C454,元件库!$B:$O,3,FALSE),"")</f>
        <v>电流.电压表</v>
      </c>
      <c r="C454" s="164" t="s">
        <v>1899</v>
      </c>
      <c r="D454" s="165" t="str">
        <f>IFERROR(VLOOKUP(C454,元件库!$B:$O,2,FALSE),"")</f>
        <v>精益联合集团</v>
      </c>
      <c r="E454" s="166" t="str">
        <f t="shared" si="163"/>
        <v>只</v>
      </c>
      <c r="F454" s="166">
        <v>3</v>
      </c>
      <c r="G454" s="42">
        <f t="shared" si="164"/>
        <v>13.750000000000002</v>
      </c>
      <c r="H454" s="42">
        <f t="shared" si="165"/>
        <v>41.250000000000007</v>
      </c>
      <c r="I454" s="167"/>
      <c r="J454" s="168">
        <f t="shared" si="166"/>
        <v>1</v>
      </c>
      <c r="K454" s="169">
        <f t="shared" si="167"/>
        <v>13.750000000000002</v>
      </c>
      <c r="L454" s="170">
        <f>IFERROR(VLOOKUP(C454,元件库!$B:$O,10,FALSE),"1.00")</f>
        <v>0.55000000000000004</v>
      </c>
      <c r="M454" s="171">
        <f>IFERROR(VLOOKUP(C454,元件库!$B:$O,11,FALSE),"")</f>
        <v>25</v>
      </c>
      <c r="N454" s="172" t="str">
        <f t="shared" ca="1" si="168"/>
        <v/>
      </c>
      <c r="O454" s="157"/>
      <c r="W454" s="162"/>
    </row>
    <row r="455" spans="1:23" s="175" customFormat="1" ht="16.5" customHeight="1" x14ac:dyDescent="0.2">
      <c r="A455" s="38">
        <f>COUNTIF($J$1:J455,"!")</f>
        <v>29</v>
      </c>
      <c r="B455" s="163" t="str">
        <f>IFERROR(VLOOKUP(C455,元件库!$B:$O,3,FALSE),"")</f>
        <v>氧化锌避雷器</v>
      </c>
      <c r="C455" s="164" t="s">
        <v>1917</v>
      </c>
      <c r="D455" s="165" t="str">
        <f>IFERROR(VLOOKUP(C455,元件库!$B:$O,2,FALSE),"")</f>
        <v>雷恩电气</v>
      </c>
      <c r="E455" s="166" t="str">
        <f t="shared" si="163"/>
        <v>组</v>
      </c>
      <c r="F455" s="166">
        <v>1</v>
      </c>
      <c r="G455" s="42">
        <f t="shared" si="164"/>
        <v>200</v>
      </c>
      <c r="H455" s="42">
        <f t="shared" si="165"/>
        <v>200</v>
      </c>
      <c r="I455" s="167"/>
      <c r="J455" s="168">
        <f t="shared" si="166"/>
        <v>1</v>
      </c>
      <c r="K455" s="169">
        <f t="shared" si="167"/>
        <v>200</v>
      </c>
      <c r="L455" s="170">
        <f>IFERROR(VLOOKUP(C455,元件库!$B:$O,10,FALSE),"1.00")</f>
        <v>1</v>
      </c>
      <c r="M455" s="171">
        <f>IFERROR(VLOOKUP(C455,元件库!$B:$O,11,FALSE),"")</f>
        <v>200</v>
      </c>
      <c r="N455" s="172" t="str">
        <f t="shared" ca="1" si="168"/>
        <v/>
      </c>
      <c r="O455" s="157"/>
      <c r="W455" s="162"/>
    </row>
    <row r="456" spans="1:23" s="175" customFormat="1" ht="16.5" customHeight="1" x14ac:dyDescent="0.2">
      <c r="A456" s="38">
        <f>COUNTIF($J$1:J456,"!")</f>
        <v>29</v>
      </c>
      <c r="B456" s="163" t="str">
        <f>IFERROR(VLOOKUP(C456,元件库!$B:$O,3,FALSE),"")</f>
        <v>穿墙套管</v>
      </c>
      <c r="C456" s="164" t="s">
        <v>135</v>
      </c>
      <c r="D456" s="165" t="str">
        <f>IFERROR(VLOOKUP(C456,元件库!$B:$O,2,FALSE),"")</f>
        <v>福一开</v>
      </c>
      <c r="E456" s="166" t="str">
        <f t="shared" si="163"/>
        <v>只</v>
      </c>
      <c r="F456" s="166">
        <v>3</v>
      </c>
      <c r="G456" s="42">
        <f t="shared" si="164"/>
        <v>45</v>
      </c>
      <c r="H456" s="42">
        <f t="shared" si="165"/>
        <v>135</v>
      </c>
      <c r="I456" s="167"/>
      <c r="J456" s="168">
        <f t="shared" si="166"/>
        <v>1</v>
      </c>
      <c r="K456" s="169">
        <f t="shared" si="167"/>
        <v>45</v>
      </c>
      <c r="L456" s="170">
        <f>IFERROR(VLOOKUP(C456,元件库!$B:$O,10,FALSE),"1.00")</f>
        <v>1</v>
      </c>
      <c r="M456" s="171">
        <f>IFERROR(VLOOKUP(C456,元件库!$B:$O,11,FALSE),"")</f>
        <v>45</v>
      </c>
      <c r="N456" s="172" t="str">
        <f t="shared" ca="1" si="168"/>
        <v/>
      </c>
      <c r="O456" s="157"/>
      <c r="W456" s="162"/>
    </row>
    <row r="457" spans="1:23" s="175" customFormat="1" ht="16.5" customHeight="1" x14ac:dyDescent="0.2">
      <c r="A457" s="38">
        <f>COUNTIF($J$1:J457,"!")</f>
        <v>29</v>
      </c>
      <c r="B457" s="163" t="str">
        <f>IFERROR(VLOOKUP(C457,元件库!$B:$O,3,FALSE),"")</f>
        <v>支柱绝缘子</v>
      </c>
      <c r="C457" s="164" t="s">
        <v>136</v>
      </c>
      <c r="D457" s="165" t="str">
        <f>IFERROR(VLOOKUP(C457,元件库!$B:$O,2,FALSE),"")</f>
        <v>福一开</v>
      </c>
      <c r="E457" s="166" t="str">
        <f t="shared" si="163"/>
        <v>只</v>
      </c>
      <c r="F457" s="166">
        <v>3</v>
      </c>
      <c r="G457" s="42">
        <f t="shared" si="164"/>
        <v>22</v>
      </c>
      <c r="H457" s="42">
        <f t="shared" si="165"/>
        <v>66</v>
      </c>
      <c r="I457" s="167"/>
      <c r="J457" s="168">
        <f t="shared" si="166"/>
        <v>1</v>
      </c>
      <c r="K457" s="169">
        <f t="shared" si="167"/>
        <v>22</v>
      </c>
      <c r="L457" s="170">
        <f>IFERROR(VLOOKUP(C457,元件库!$B:$O,10,FALSE),"1.00")</f>
        <v>1</v>
      </c>
      <c r="M457" s="171">
        <f>IFERROR(VLOOKUP(C457,元件库!$B:$O,11,FALSE),"")</f>
        <v>22</v>
      </c>
      <c r="N457" s="172" t="str">
        <f t="shared" ca="1" si="168"/>
        <v/>
      </c>
      <c r="O457" s="157"/>
      <c r="W457" s="162"/>
    </row>
    <row r="458" spans="1:23" s="175" customFormat="1" ht="16.5" customHeight="1" x14ac:dyDescent="0.2">
      <c r="A458" s="38">
        <f>COUNTIF($J$1:J458,"!")</f>
        <v>29</v>
      </c>
      <c r="B458" s="163" t="str">
        <f>IFERROR(VLOOKUP(C458,元件库!$B:$O,3,FALSE),"")</f>
        <v>电压传感器</v>
      </c>
      <c r="C458" s="164" t="s">
        <v>137</v>
      </c>
      <c r="D458" s="165" t="str">
        <f>IFERROR(VLOOKUP(C458,元件库!$B:$O,2,FALSE),"")</f>
        <v>福一开</v>
      </c>
      <c r="E458" s="166" t="str">
        <f t="shared" si="163"/>
        <v>只</v>
      </c>
      <c r="F458" s="166">
        <v>1</v>
      </c>
      <c r="G458" s="42">
        <f t="shared" si="164"/>
        <v>93</v>
      </c>
      <c r="H458" s="42">
        <f t="shared" si="165"/>
        <v>93</v>
      </c>
      <c r="I458" s="167"/>
      <c r="J458" s="168">
        <f t="shared" si="166"/>
        <v>1</v>
      </c>
      <c r="K458" s="169">
        <f t="shared" si="167"/>
        <v>93</v>
      </c>
      <c r="L458" s="170">
        <f>IFERROR(VLOOKUP(C458,元件库!$B:$O,10,FALSE),"1.00")</f>
        <v>1</v>
      </c>
      <c r="M458" s="171">
        <f>IFERROR(VLOOKUP(C458,元件库!$B:$O,11,FALSE),"")</f>
        <v>93</v>
      </c>
      <c r="N458" s="172" t="str">
        <f t="shared" ca="1" si="168"/>
        <v/>
      </c>
      <c r="O458" s="157"/>
      <c r="W458" s="162"/>
    </row>
    <row r="459" spans="1:23" s="175" customFormat="1" ht="16.5" customHeight="1" x14ac:dyDescent="0.2">
      <c r="A459" s="38">
        <f>COUNTIF($J$1:J459,"!")</f>
        <v>29</v>
      </c>
      <c r="B459" s="163" t="str">
        <f>IFERROR(VLOOKUP(C459,元件库!$B:$O,3,FALSE),"")</f>
        <v>带电显示器</v>
      </c>
      <c r="C459" s="164" t="s">
        <v>1897</v>
      </c>
      <c r="D459" s="165" t="str">
        <f>IFERROR(VLOOKUP(C459,元件库!$B:$O,2,FALSE),"")</f>
        <v>江山鑫源</v>
      </c>
      <c r="E459" s="166" t="str">
        <f>IF(D459="欣利铜材","米",IF(B459="氧化锌避雷器","组","只"))</f>
        <v>只</v>
      </c>
      <c r="F459" s="166">
        <v>1</v>
      </c>
      <c r="G459" s="42">
        <f>IFERROR(J459*K459,"")</f>
        <v>33</v>
      </c>
      <c r="H459" s="42">
        <f>IFERROR(G459*F459,"")</f>
        <v>33</v>
      </c>
      <c r="I459" s="167"/>
      <c r="J459" s="168">
        <f>P$1</f>
        <v>1</v>
      </c>
      <c r="K459" s="169">
        <f>IFERROR(M459*L459,"")</f>
        <v>33</v>
      </c>
      <c r="L459" s="170">
        <f>IFERROR(VLOOKUP(C459,元件库!$B:$O,10,FALSE),"1.00")</f>
        <v>1</v>
      </c>
      <c r="M459" s="171">
        <f>IFERROR(VLOOKUP(C459,元件库!$B:$O,11,FALSE),"")</f>
        <v>33</v>
      </c>
      <c r="N459" s="172" t="str">
        <f t="shared" ca="1" si="168"/>
        <v/>
      </c>
      <c r="O459" s="157"/>
      <c r="W459" s="162"/>
    </row>
    <row r="460" spans="1:23" s="175" customFormat="1" ht="16.5" customHeight="1" x14ac:dyDescent="0.2">
      <c r="A460" s="38">
        <f>COUNTIF($J$1:J460,"!")</f>
        <v>29</v>
      </c>
      <c r="B460" s="163" t="str">
        <f>IFERROR(VLOOKUP(C460,元件库!$B:$O,3,FALSE),"")</f>
        <v>电磁锁</v>
      </c>
      <c r="C460" s="164" t="s">
        <v>98</v>
      </c>
      <c r="D460" s="165" t="str">
        <f>IFERROR(VLOOKUP(C460,元件库!$B:$O,2,FALSE),"")</f>
        <v>哈陆拉</v>
      </c>
      <c r="E460" s="166" t="str">
        <f>IF(D460="欣利铜材","米",IF(B460="氧化锌避雷器","组","只"))</f>
        <v>只</v>
      </c>
      <c r="F460" s="166">
        <v>1</v>
      </c>
      <c r="G460" s="42">
        <f>IFERROR(J460*K460,"")</f>
        <v>55</v>
      </c>
      <c r="H460" s="42">
        <f>IFERROR(G460*F460,"")</f>
        <v>55</v>
      </c>
      <c r="I460" s="167"/>
      <c r="J460" s="168">
        <f t="shared" ref="J460:J467" si="169">P$1</f>
        <v>1</v>
      </c>
      <c r="K460" s="169">
        <f>IFERROR(M460*L460,"")</f>
        <v>55</v>
      </c>
      <c r="L460" s="170">
        <f>IFERROR(VLOOKUP(C460,元件库!$B:$O,10,FALSE),"1.00")</f>
        <v>1</v>
      </c>
      <c r="M460" s="171">
        <f>IFERROR(VLOOKUP(C460,元件库!$B:$O,11,FALSE),"")</f>
        <v>55</v>
      </c>
      <c r="N460" s="172" t="str">
        <f t="shared" ca="1" si="168"/>
        <v/>
      </c>
      <c r="O460" s="157"/>
      <c r="W460" s="162"/>
    </row>
    <row r="461" spans="1:23" s="175" customFormat="1" ht="16.5" customHeight="1" x14ac:dyDescent="0.2">
      <c r="A461" s="38">
        <f>COUNTIF($J$1:J461,"!")</f>
        <v>29</v>
      </c>
      <c r="B461" s="163" t="str">
        <f>IFERROR(VLOOKUP(C461,元件库!$B:$O,3,FALSE),"")</f>
        <v>温湿度控制器</v>
      </c>
      <c r="C461" s="164" t="s">
        <v>153</v>
      </c>
      <c r="D461" s="165" t="str">
        <f>IFERROR(VLOOKUP(C461,元件库!$B:$O,2,FALSE),"")</f>
        <v>实德电气</v>
      </c>
      <c r="E461" s="166" t="str">
        <f t="shared" ref="E461:E467" si="170">IF(D461="欣利铜材","米",IF(B461="氧化锌避雷器","组","只"))</f>
        <v>只</v>
      </c>
      <c r="F461" s="166">
        <v>1</v>
      </c>
      <c r="G461" s="42">
        <f t="shared" ref="G461:G467" si="171">IFERROR(J461*K461,"")</f>
        <v>110</v>
      </c>
      <c r="H461" s="42">
        <f t="shared" ref="H461:H467" si="172">IFERROR(G461*F461,"")</f>
        <v>110</v>
      </c>
      <c r="I461" s="167"/>
      <c r="J461" s="168">
        <f t="shared" si="169"/>
        <v>1</v>
      </c>
      <c r="K461" s="169">
        <f t="shared" ref="K461:K467" si="173">IFERROR(M461*L461,"")</f>
        <v>110</v>
      </c>
      <c r="L461" s="170">
        <f>IFERROR(VLOOKUP(C461,元件库!$B:$O,10,FALSE),"1.00")</f>
        <v>1</v>
      </c>
      <c r="M461" s="171">
        <f>IFERROR(VLOOKUP(C461,元件库!$B:$O,11,FALSE),"")</f>
        <v>110</v>
      </c>
      <c r="N461" s="172" t="str">
        <f t="shared" ca="1" si="168"/>
        <v/>
      </c>
      <c r="O461" s="157"/>
    </row>
    <row r="462" spans="1:23" s="175" customFormat="1" ht="16.5" customHeight="1" x14ac:dyDescent="0.2">
      <c r="A462" s="38">
        <f>COUNTIF($J$1:J462,"!")</f>
        <v>29</v>
      </c>
      <c r="B462" s="163" t="str">
        <f>IFERROR(VLOOKUP(C462,元件库!$B:$O,3,FALSE),"")</f>
        <v>加热器</v>
      </c>
      <c r="C462" s="164" t="s">
        <v>101</v>
      </c>
      <c r="D462" s="165" t="str">
        <f>IFERROR(VLOOKUP(C462,元件库!$B:$O,2,FALSE),"")</f>
        <v>实德电气</v>
      </c>
      <c r="E462" s="166" t="str">
        <f t="shared" si="170"/>
        <v>只</v>
      </c>
      <c r="F462" s="166">
        <v>2</v>
      </c>
      <c r="G462" s="42">
        <f t="shared" si="171"/>
        <v>18</v>
      </c>
      <c r="H462" s="42">
        <f t="shared" si="172"/>
        <v>36</v>
      </c>
      <c r="I462" s="167"/>
      <c r="J462" s="168">
        <f t="shared" si="169"/>
        <v>1</v>
      </c>
      <c r="K462" s="169">
        <f t="shared" si="173"/>
        <v>18</v>
      </c>
      <c r="L462" s="170">
        <f>IFERROR(VLOOKUP(C462,元件库!$B:$O,10,FALSE),"1.00")</f>
        <v>1</v>
      </c>
      <c r="M462" s="171">
        <f>IFERROR(VLOOKUP(C462,元件库!$B:$O,11,FALSE),"")</f>
        <v>18</v>
      </c>
      <c r="N462" s="172" t="str">
        <f t="shared" ca="1" si="168"/>
        <v/>
      </c>
      <c r="O462" s="157"/>
    </row>
    <row r="463" spans="1:23" s="175" customFormat="1" ht="16.5" customHeight="1" x14ac:dyDescent="0.2">
      <c r="A463" s="38">
        <f>COUNTIF($J$1:J463,"!")</f>
        <v>29</v>
      </c>
      <c r="B463" s="163" t="str">
        <f>IFERROR(VLOOKUP(C463,元件库!$B:$O,3,FALSE),"")</f>
        <v>高压热缩管</v>
      </c>
      <c r="C463" s="185" t="str">
        <f>"10KV"&amp;MID(C466,4,10)</f>
        <v>10KV-60*6</v>
      </c>
      <c r="D463" s="165" t="str">
        <f>IFERROR(VLOOKUP(C463,元件库!$B:$O,2,FALSE),"")</f>
        <v>精益联合集团</v>
      </c>
      <c r="E463" s="166" t="str">
        <f t="shared" si="170"/>
        <v>只</v>
      </c>
      <c r="F463" s="166">
        <f>ROUND(SUM(F466:F467),0)</f>
        <v>2</v>
      </c>
      <c r="G463" s="42">
        <f t="shared" si="171"/>
        <v>12</v>
      </c>
      <c r="H463" s="42">
        <f t="shared" si="172"/>
        <v>24</v>
      </c>
      <c r="I463" s="167"/>
      <c r="J463" s="168">
        <f t="shared" si="169"/>
        <v>1</v>
      </c>
      <c r="K463" s="169">
        <f t="shared" si="173"/>
        <v>12</v>
      </c>
      <c r="L463" s="170">
        <f>IFERROR(VLOOKUP(C463,元件库!$B:$O,10,FALSE),"1.00")</f>
        <v>1</v>
      </c>
      <c r="M463" s="171">
        <f>IFERROR(VLOOKUP(C463,元件库!$B:$O,11,FALSE),"")</f>
        <v>12</v>
      </c>
      <c r="N463" s="172" t="str">
        <f t="shared" ca="1" si="168"/>
        <v/>
      </c>
      <c r="O463" s="157"/>
    </row>
    <row r="464" spans="1:23" s="175" customFormat="1" ht="16.5" customHeight="1" x14ac:dyDescent="0.2">
      <c r="A464" s="38">
        <f>COUNTIF($J$1:J464,"!")</f>
        <v>29</v>
      </c>
      <c r="B464" s="163" t="str">
        <f>IFERROR(VLOOKUP(C464,元件库!$B:$O,3,FALSE),"")</f>
        <v>铜排</v>
      </c>
      <c r="C464" s="185" t="s">
        <v>1889</v>
      </c>
      <c r="D464" s="165" t="str">
        <f>IFERROR(VLOOKUP(C464,元件库!$B:$O,2,FALSE),"")</f>
        <v>欣利铜材</v>
      </c>
      <c r="E464" s="166" t="str">
        <f t="shared" si="170"/>
        <v>米</v>
      </c>
      <c r="F464" s="166">
        <v>6</v>
      </c>
      <c r="G464" s="42">
        <f t="shared" si="171"/>
        <v>182.62799999999999</v>
      </c>
      <c r="H464" s="42">
        <f t="shared" si="172"/>
        <v>1095.768</v>
      </c>
      <c r="I464" s="167"/>
      <c r="J464" s="168">
        <f t="shared" si="169"/>
        <v>1</v>
      </c>
      <c r="K464" s="169">
        <f t="shared" si="173"/>
        <v>182.62799999999999</v>
      </c>
      <c r="L464" s="170">
        <f>IFERROR(VLOOKUP(C464,元件库!$B:$O,10,FALSE),"1.00")</f>
        <v>1</v>
      </c>
      <c r="M464" s="171">
        <f>IFERROR(VLOOKUP(C464,元件库!$B:$O,11,FALSE),"")</f>
        <v>182.62799999999999</v>
      </c>
      <c r="N464" s="172" t="str">
        <f t="shared" ca="1" si="168"/>
        <v/>
      </c>
      <c r="O464" s="174" t="str">
        <f>O467</f>
        <v>HXGN-500*900*2000</v>
      </c>
    </row>
    <row r="465" spans="1:23" s="175" customFormat="1" ht="16.5" customHeight="1" x14ac:dyDescent="0.2">
      <c r="A465" s="38">
        <f>COUNTIF($J$1:J465,"!")</f>
        <v>29</v>
      </c>
      <c r="B465" s="163" t="str">
        <f>IFERROR(VLOOKUP(C465,元件库!$B:$O,3,FALSE),"")</f>
        <v>铜排</v>
      </c>
      <c r="C465" s="185" t="s">
        <v>1910</v>
      </c>
      <c r="D465" s="165" t="str">
        <f>IFERROR(VLOOKUP(C465,元件库!$B:$O,2,FALSE),"")</f>
        <v>欣利铜材</v>
      </c>
      <c r="E465" s="166" t="str">
        <f t="shared" si="170"/>
        <v>米</v>
      </c>
      <c r="F465" s="166">
        <v>3</v>
      </c>
      <c r="G465" s="42">
        <f t="shared" si="171"/>
        <v>45.656999999999996</v>
      </c>
      <c r="H465" s="42">
        <f t="shared" si="172"/>
        <v>136.971</v>
      </c>
      <c r="I465" s="167"/>
      <c r="J465" s="168">
        <f t="shared" si="169"/>
        <v>1</v>
      </c>
      <c r="K465" s="169">
        <f t="shared" si="173"/>
        <v>45.656999999999996</v>
      </c>
      <c r="L465" s="170">
        <f>IFERROR(VLOOKUP(C465,元件库!$B:$O,10,FALSE),"1.00")</f>
        <v>1</v>
      </c>
      <c r="M465" s="171">
        <f>IFERROR(VLOOKUP(C465,元件库!$B:$O,11,FALSE),"")</f>
        <v>45.656999999999996</v>
      </c>
      <c r="N465" s="172" t="str">
        <f t="shared" ca="1" si="168"/>
        <v/>
      </c>
      <c r="O465" s="174">
        <f>O468</f>
        <v>0</v>
      </c>
    </row>
    <row r="466" spans="1:23" s="175" customFormat="1" ht="16.5" customHeight="1" x14ac:dyDescent="0.2">
      <c r="A466" s="38">
        <f>COUNTIF($J$1:J466,"!")</f>
        <v>29</v>
      </c>
      <c r="B466" s="163" t="s">
        <v>2171</v>
      </c>
      <c r="C466" s="185" t="s">
        <v>1889</v>
      </c>
      <c r="D466" s="165" t="str">
        <f>IFERROR(VLOOKUP(C466,元件库!$B:$O,2,FALSE),"")</f>
        <v>欣利铜材</v>
      </c>
      <c r="E466" s="166" t="str">
        <f t="shared" si="170"/>
        <v>米</v>
      </c>
      <c r="F466" s="166">
        <f>1*MID(O466,FIND("-",O466)+1,FIND("*",O466)-FIND("-",O466)-1)/1000*IF(B466="水平排",3,1)+IF(AND(B466="零母排",VLOOKUP(A466,A$1:B462,2,FALSE)="低压进线柜"),1.5,0)</f>
        <v>1.5</v>
      </c>
      <c r="G466" s="42">
        <f t="shared" si="171"/>
        <v>182.62799999999999</v>
      </c>
      <c r="H466" s="42">
        <f t="shared" si="172"/>
        <v>273.94200000000001</v>
      </c>
      <c r="I466" s="167"/>
      <c r="J466" s="168">
        <f t="shared" si="169"/>
        <v>1</v>
      </c>
      <c r="K466" s="169">
        <f t="shared" si="173"/>
        <v>182.62799999999999</v>
      </c>
      <c r="L466" s="170">
        <f>IFERROR(VLOOKUP(C466,元件库!$B:$O,10,FALSE),"1.00")</f>
        <v>1</v>
      </c>
      <c r="M466" s="171">
        <f>IFERROR(VLOOKUP(C466,元件库!$B:$O,11,FALSE),"")</f>
        <v>182.62799999999999</v>
      </c>
      <c r="N466" s="172" t="str">
        <f t="shared" ca="1" si="168"/>
        <v/>
      </c>
      <c r="O466" s="174" t="str">
        <f>O469</f>
        <v>HXGN-500*900*2000</v>
      </c>
    </row>
    <row r="467" spans="1:23" s="175" customFormat="1" ht="16.5" customHeight="1" x14ac:dyDescent="0.2">
      <c r="A467" s="38">
        <f>COUNTIF($J$1:J467,"!")</f>
        <v>29</v>
      </c>
      <c r="B467" s="163" t="s">
        <v>2172</v>
      </c>
      <c r="C467" s="185" t="s">
        <v>2326</v>
      </c>
      <c r="D467" s="165" t="str">
        <f>IFERROR(VLOOKUP(C467,元件库!$B:$O,2,FALSE),"")</f>
        <v>欣利铜材</v>
      </c>
      <c r="E467" s="166" t="str">
        <f t="shared" si="170"/>
        <v>米</v>
      </c>
      <c r="F467" s="166">
        <f>1*MID(O467,FIND("-",O467)+1,FIND("*",O467)-FIND("-",O467)-1)/1000*IF(B467="水平排",3,1)+IF(AND(B467="零母排",VLOOKUP(A467,A$1:B463,2,FALSE)="低压进线柜"),1.5,0)</f>
        <v>0.5</v>
      </c>
      <c r="G467" s="42">
        <f t="shared" si="171"/>
        <v>81.167999999999992</v>
      </c>
      <c r="H467" s="42">
        <f t="shared" si="172"/>
        <v>40.583999999999996</v>
      </c>
      <c r="I467" s="167"/>
      <c r="J467" s="168">
        <f t="shared" si="169"/>
        <v>1</v>
      </c>
      <c r="K467" s="169">
        <f t="shared" si="173"/>
        <v>81.167999999999992</v>
      </c>
      <c r="L467" s="170">
        <f>IFERROR(VLOOKUP(C467,元件库!$B:$O,10,FALSE),"1.00")</f>
        <v>1</v>
      </c>
      <c r="M467" s="171">
        <f>IFERROR(VLOOKUP(C467,元件库!$B:$O,11,FALSE),"")</f>
        <v>81.167999999999992</v>
      </c>
      <c r="N467" s="172" t="str">
        <f t="shared" ca="1" si="168"/>
        <v/>
      </c>
      <c r="O467" s="174" t="str">
        <f>O470</f>
        <v>HXGN-500*900*2000</v>
      </c>
    </row>
    <row r="468" spans="1:23" s="162" customFormat="1" ht="16.5" customHeight="1" x14ac:dyDescent="0.2">
      <c r="A468" s="38">
        <f>COUNTIF($J$1:J468,"!")</f>
        <v>29</v>
      </c>
      <c r="B468" s="177" t="s">
        <v>107</v>
      </c>
      <c r="C468" s="164"/>
      <c r="D468" s="166"/>
      <c r="E468" s="166"/>
      <c r="F468" s="166"/>
      <c r="G468" s="42"/>
      <c r="H468" s="42"/>
      <c r="I468" s="178">
        <f>SUM(H451:H468)</f>
        <v>5946.5149999999994</v>
      </c>
      <c r="J468" s="168"/>
      <c r="K468" s="169"/>
      <c r="L468" s="170"/>
      <c r="M468" s="171"/>
      <c r="O468" s="161"/>
      <c r="P468" s="157"/>
    </row>
    <row r="469" spans="1:23" ht="16.5" customHeight="1" x14ac:dyDescent="0.2">
      <c r="A469" s="38">
        <f>COUNTIF($J$1:J469,"!")</f>
        <v>29</v>
      </c>
      <c r="B469" s="179" t="s">
        <v>47</v>
      </c>
      <c r="C469" s="164"/>
      <c r="D469" s="166"/>
      <c r="E469" s="166"/>
      <c r="F469" s="166"/>
      <c r="G469" s="42"/>
      <c r="H469" s="42">
        <f>IFERROR(J469*M469*L469,"")</f>
        <v>400</v>
      </c>
      <c r="I469" s="167"/>
      <c r="J469" s="168">
        <f>P$1</f>
        <v>1</v>
      </c>
      <c r="K469" s="169">
        <f t="shared" ref="K469:K470" si="174">IFERROR(M469*L469,"")</f>
        <v>400</v>
      </c>
      <c r="L469" s="170" t="str">
        <f>IFERROR(VLOOKUP(C469,元件库!$B:$O,10,FALSE),"1.00")</f>
        <v>1.00</v>
      </c>
      <c r="M469" s="171">
        <v>400</v>
      </c>
      <c r="O469" s="180" t="str">
        <f>C451</f>
        <v>HXGN-500*900*2000</v>
      </c>
      <c r="P469" s="162"/>
      <c r="R469" s="157"/>
      <c r="S469" s="157"/>
    </row>
    <row r="470" spans="1:23" s="161" customFormat="1" ht="16.5" customHeight="1" x14ac:dyDescent="0.2">
      <c r="A470" s="38">
        <f>COUNTIF($J$1:J470,"!")</f>
        <v>29</v>
      </c>
      <c r="B470" s="179" t="s">
        <v>49</v>
      </c>
      <c r="C470" s="164"/>
      <c r="D470" s="166"/>
      <c r="E470" s="166"/>
      <c r="F470" s="166"/>
      <c r="G470" s="42"/>
      <c r="H470" s="42">
        <f>IFERROR(J470*M470*L470,"")</f>
        <v>200</v>
      </c>
      <c r="I470" s="167"/>
      <c r="J470" s="168">
        <f>P$1</f>
        <v>1</v>
      </c>
      <c r="K470" s="169">
        <f t="shared" si="174"/>
        <v>200</v>
      </c>
      <c r="L470" s="170" t="str">
        <f>IFERROR(VLOOKUP(C470,元件库!$B:$O,10,FALSE),"1.00")</f>
        <v>1.00</v>
      </c>
      <c r="M470" s="171">
        <v>200</v>
      </c>
      <c r="O470" s="174" t="str">
        <f>O469</f>
        <v>HXGN-500*900*2000</v>
      </c>
      <c r="P470" s="162"/>
      <c r="Q470" s="162"/>
    </row>
    <row r="471" spans="1:23" s="161" customFormat="1" ht="16.5" customHeight="1" x14ac:dyDescent="0.2">
      <c r="A471" s="38">
        <f>COUNTIF($J$1:J471,"!")</f>
        <v>29</v>
      </c>
      <c r="B471" s="179" t="s">
        <v>79</v>
      </c>
      <c r="C471" s="164"/>
      <c r="D471" s="166"/>
      <c r="E471" s="166"/>
      <c r="F471" s="166"/>
      <c r="G471" s="42"/>
      <c r="H471" s="42">
        <f>K471*L471</f>
        <v>785.58179999999993</v>
      </c>
      <c r="I471" s="167"/>
      <c r="J471" s="168"/>
      <c r="K471" s="169">
        <f>SUM(H469:H470)+I468</f>
        <v>6546.5149999999994</v>
      </c>
      <c r="L471" s="279">
        <f>R$1</f>
        <v>0.12</v>
      </c>
      <c r="M471" s="171"/>
      <c r="O471" s="181"/>
      <c r="P471" s="162"/>
      <c r="Q471" s="162"/>
    </row>
    <row r="472" spans="1:23" ht="16.5" customHeight="1" x14ac:dyDescent="0.2">
      <c r="A472" s="38">
        <f>COUNTIF($J$1:J472,"!")</f>
        <v>29</v>
      </c>
      <c r="B472" s="179" t="s">
        <v>108</v>
      </c>
      <c r="C472" s="164"/>
      <c r="D472" s="166"/>
      <c r="E472" s="166"/>
      <c r="F472" s="166"/>
      <c r="G472" s="184"/>
      <c r="H472" s="42">
        <f>K472*L472</f>
        <v>219.96290399999998</v>
      </c>
      <c r="I472" s="167"/>
      <c r="J472" s="168"/>
      <c r="K472" s="169">
        <f>H471+K471</f>
        <v>7332.0967999999993</v>
      </c>
      <c r="L472" s="279">
        <f>T$1</f>
        <v>0.03</v>
      </c>
      <c r="M472" s="171"/>
      <c r="O472" s="161"/>
      <c r="P472" s="162"/>
      <c r="R472" s="157"/>
      <c r="S472" s="157"/>
    </row>
    <row r="473" spans="1:23" s="162" customFormat="1" ht="16.5" customHeight="1" x14ac:dyDescent="0.15">
      <c r="A473" s="32">
        <f>COUNTIF($J$1:J473,"!")</f>
        <v>30</v>
      </c>
      <c r="B473" s="33" t="s">
        <v>1886</v>
      </c>
      <c r="C473" s="296" t="s">
        <v>3161</v>
      </c>
      <c r="D473" s="159" t="s">
        <v>3160</v>
      </c>
      <c r="E473" s="34" t="s">
        <v>23</v>
      </c>
      <c r="F473" s="159">
        <v>1</v>
      </c>
      <c r="G473" s="36">
        <f>ROUND(SUM(H474:H492),0)</f>
        <v>6671</v>
      </c>
      <c r="H473" s="160" t="str">
        <f>IF(ISNUMBER(FIND(" ",C474)),MID(C474,1,FIND(" ",C474)-1),IF(ISNUMBER(FIND("电容柜",B473)),"GGJ",MID(C474,1,FIND("-",C474)-1)))</f>
        <v>HXGN</v>
      </c>
      <c r="I473" s="47" t="str">
        <f>MID(C474,IF(LEN(C474)-LEN(H473)&gt;3,LEN(H473)+2,1),30)</f>
        <v>800*900*2000</v>
      </c>
      <c r="J473" s="48" t="s">
        <v>24</v>
      </c>
      <c r="K473" s="49"/>
      <c r="L473" s="50"/>
      <c r="M473" s="51"/>
      <c r="N473" s="172"/>
      <c r="O473" s="161"/>
    </row>
    <row r="474" spans="1:23" s="162" customFormat="1" ht="16.5" customHeight="1" x14ac:dyDescent="0.2">
      <c r="A474" s="38">
        <f>COUNTIF($J$1:J474,"!")</f>
        <v>30</v>
      </c>
      <c r="B474" s="163" t="str">
        <f>IFERROR(VLOOKUP(C474,元件库!$B:$O,3,FALSE),"")</f>
        <v>壳体W*D*H</v>
      </c>
      <c r="C474" s="164" t="s">
        <v>3122</v>
      </c>
      <c r="D474" s="165" t="str">
        <f>IFERROR(VLOOKUP(C474,元件库!$B:$O,2,FALSE),"")</f>
        <v>精益联合集团</v>
      </c>
      <c r="E474" s="166" t="str">
        <f t="shared" ref="E474:E479" si="175">IF(D474="欣利铜材","米",IF(B474="氧化锌避雷器","组","只"))</f>
        <v>只</v>
      </c>
      <c r="F474" s="166">
        <v>1</v>
      </c>
      <c r="G474" s="42">
        <f t="shared" ref="G474:G479" si="176">IFERROR(J474*K474,"")</f>
        <v>1800</v>
      </c>
      <c r="H474" s="42">
        <f t="shared" ref="H474:H479" si="177">IFERROR(G474*F474,"")</f>
        <v>1800</v>
      </c>
      <c r="I474" s="167"/>
      <c r="J474" s="168">
        <f t="shared" ref="J474:J479" si="178">P$1</f>
        <v>1</v>
      </c>
      <c r="K474" s="169">
        <f t="shared" ref="K474:K479" si="179">IFERROR(M474*L474,"")</f>
        <v>1800</v>
      </c>
      <c r="L474" s="170">
        <f>IFERROR(VLOOKUP(C474,元件库!$B:$O,10,FALSE),"1.00")</f>
        <v>1</v>
      </c>
      <c r="M474" s="171">
        <f>IFERROR(VLOOKUP(C474,元件库!$B:$O,11,FALSE),"")</f>
        <v>1800</v>
      </c>
      <c r="N474" s="172" t="str">
        <f t="shared" ref="N474:N487" ca="1" si="180">IF(AND(ISNUMBER(FIND("IF",_xlfn.FORMULATEXT(L474))),ISNUMBER(FIND("IF",_xlfn.FORMULATEXT(M474)))),"","值")</f>
        <v/>
      </c>
      <c r="O474" s="157"/>
      <c r="P474" s="157"/>
    </row>
    <row r="475" spans="1:23" s="175" customFormat="1" ht="16.5" customHeight="1" x14ac:dyDescent="0.2">
      <c r="A475" s="38">
        <f>COUNTIF($J$1:J475,"!")</f>
        <v>30</v>
      </c>
      <c r="B475" s="163" t="str">
        <f>IFERROR(VLOOKUP(C475,元件库!$B:$O,3,FALSE),"")</f>
        <v/>
      </c>
      <c r="C475" s="164" t="s">
        <v>861</v>
      </c>
      <c r="D475" s="165" t="str">
        <f>IFERROR(VLOOKUP(C475,元件库!$B:$O,2,FALSE),"")</f>
        <v/>
      </c>
      <c r="E475" s="166" t="str">
        <f t="shared" si="175"/>
        <v>只</v>
      </c>
      <c r="F475" s="166">
        <v>1</v>
      </c>
      <c r="G475" s="42" t="str">
        <f t="shared" si="176"/>
        <v/>
      </c>
      <c r="H475" s="42" t="str">
        <f t="shared" si="177"/>
        <v/>
      </c>
      <c r="I475" s="167"/>
      <c r="J475" s="168">
        <f t="shared" si="178"/>
        <v>1</v>
      </c>
      <c r="K475" s="169" t="str">
        <f t="shared" si="179"/>
        <v/>
      </c>
      <c r="L475" s="170" t="str">
        <f>IFERROR(VLOOKUP(C475,元件库!$B:$O,10,FALSE),"1.00")</f>
        <v>1.00</v>
      </c>
      <c r="M475" s="171" t="str">
        <f>IFERROR(VLOOKUP(C475,元件库!$B:$O,11,FALSE),"")</f>
        <v/>
      </c>
      <c r="N475" s="172" t="str">
        <f t="shared" ca="1" si="180"/>
        <v/>
      </c>
      <c r="O475" s="157"/>
      <c r="W475" s="162"/>
    </row>
    <row r="476" spans="1:23" s="175" customFormat="1" ht="16.5" customHeight="1" x14ac:dyDescent="0.2">
      <c r="A476" s="38">
        <f>COUNTIF($J$1:J476,"!")</f>
        <v>30</v>
      </c>
      <c r="B476" s="163" t="str">
        <f>IFERROR(VLOOKUP(C476,元件库!$B:$O,3,FALSE),"")</f>
        <v>高压熔断器</v>
      </c>
      <c r="C476" s="164" t="s">
        <v>3123</v>
      </c>
      <c r="D476" s="165" t="str">
        <f>IFERROR(VLOOKUP(C476,元件库!$B:$O,2,FALSE),"")</f>
        <v>上海智广</v>
      </c>
      <c r="E476" s="166" t="str">
        <f t="shared" si="175"/>
        <v>只</v>
      </c>
      <c r="F476" s="166">
        <v>3</v>
      </c>
      <c r="G476" s="42">
        <f t="shared" si="176"/>
        <v>140</v>
      </c>
      <c r="H476" s="42">
        <f t="shared" si="177"/>
        <v>420</v>
      </c>
      <c r="I476" s="167"/>
      <c r="J476" s="168">
        <f t="shared" si="178"/>
        <v>1</v>
      </c>
      <c r="K476" s="169">
        <f t="shared" si="179"/>
        <v>140</v>
      </c>
      <c r="L476" s="170">
        <f>IFERROR(VLOOKUP(C476,元件库!$B:$O,10,FALSE),"1.00")</f>
        <v>1</v>
      </c>
      <c r="M476" s="171">
        <f>IFERROR(VLOOKUP(C476,元件库!$B:$O,11,FALSE),"")</f>
        <v>140</v>
      </c>
      <c r="N476" s="172" t="str">
        <f t="shared" ca="1" si="180"/>
        <v/>
      </c>
      <c r="O476" s="157"/>
      <c r="W476" s="162"/>
    </row>
    <row r="477" spans="1:23" s="175" customFormat="1" ht="16.5" customHeight="1" x14ac:dyDescent="0.2">
      <c r="A477" s="38">
        <f>COUNTIF($J$1:J477,"!")</f>
        <v>30</v>
      </c>
      <c r="B477" s="163" t="str">
        <f>IFERROR(VLOOKUP(C477,元件库!$B:$O,3,FALSE),"")</f>
        <v>穿墙套管</v>
      </c>
      <c r="C477" s="164" t="s">
        <v>135</v>
      </c>
      <c r="D477" s="165" t="str">
        <f>IFERROR(VLOOKUP(C477,元件库!$B:$O,2,FALSE),"")</f>
        <v>福一开</v>
      </c>
      <c r="E477" s="166" t="str">
        <f t="shared" si="175"/>
        <v>只</v>
      </c>
      <c r="F477" s="166">
        <v>3</v>
      </c>
      <c r="G477" s="42">
        <f t="shared" si="176"/>
        <v>45</v>
      </c>
      <c r="H477" s="42">
        <f t="shared" si="177"/>
        <v>135</v>
      </c>
      <c r="I477" s="167"/>
      <c r="J477" s="168">
        <f t="shared" si="178"/>
        <v>1</v>
      </c>
      <c r="K477" s="169">
        <f t="shared" si="179"/>
        <v>45</v>
      </c>
      <c r="L477" s="170">
        <f>IFERROR(VLOOKUP(C477,元件库!$B:$O,10,FALSE),"1.00")</f>
        <v>1</v>
      </c>
      <c r="M477" s="171">
        <f>IFERROR(VLOOKUP(C477,元件库!$B:$O,11,FALSE),"")</f>
        <v>45</v>
      </c>
      <c r="N477" s="172" t="str">
        <f t="shared" ca="1" si="180"/>
        <v/>
      </c>
      <c r="O477" s="157"/>
      <c r="W477" s="162"/>
    </row>
    <row r="478" spans="1:23" s="175" customFormat="1" ht="16.5" customHeight="1" x14ac:dyDescent="0.2">
      <c r="A478" s="38">
        <f>COUNTIF($J$1:J478,"!")</f>
        <v>30</v>
      </c>
      <c r="B478" s="163" t="str">
        <f>IFERROR(VLOOKUP(C478,元件库!$B:$O,3,FALSE),"")</f>
        <v>支柱绝缘子</v>
      </c>
      <c r="C478" s="164" t="s">
        <v>136</v>
      </c>
      <c r="D478" s="165" t="str">
        <f>IFERROR(VLOOKUP(C478,元件库!$B:$O,2,FALSE),"")</f>
        <v>福一开</v>
      </c>
      <c r="E478" s="166" t="str">
        <f t="shared" si="175"/>
        <v>只</v>
      </c>
      <c r="F478" s="166">
        <v>3</v>
      </c>
      <c r="G478" s="42">
        <f t="shared" si="176"/>
        <v>22</v>
      </c>
      <c r="H478" s="42">
        <f t="shared" si="177"/>
        <v>66</v>
      </c>
      <c r="I478" s="167"/>
      <c r="J478" s="168">
        <f t="shared" si="178"/>
        <v>1</v>
      </c>
      <c r="K478" s="169">
        <f t="shared" si="179"/>
        <v>22</v>
      </c>
      <c r="L478" s="170">
        <f>IFERROR(VLOOKUP(C478,元件库!$B:$O,10,FALSE),"1.00")</f>
        <v>1</v>
      </c>
      <c r="M478" s="171">
        <f>IFERROR(VLOOKUP(C478,元件库!$B:$O,11,FALSE),"")</f>
        <v>22</v>
      </c>
      <c r="N478" s="172" t="str">
        <f t="shared" ca="1" si="180"/>
        <v/>
      </c>
      <c r="O478" s="157"/>
      <c r="W478" s="162"/>
    </row>
    <row r="479" spans="1:23" s="175" customFormat="1" ht="16.5" customHeight="1" x14ac:dyDescent="0.2">
      <c r="A479" s="38">
        <f>COUNTIF($J$1:J479,"!")</f>
        <v>30</v>
      </c>
      <c r="B479" s="163" t="str">
        <f>IFERROR(VLOOKUP(C479,元件库!$B:$O,3,FALSE),"")</f>
        <v>电压传感器</v>
      </c>
      <c r="C479" s="164" t="s">
        <v>137</v>
      </c>
      <c r="D479" s="165" t="str">
        <f>IFERROR(VLOOKUP(C479,元件库!$B:$O,2,FALSE),"")</f>
        <v>福一开</v>
      </c>
      <c r="E479" s="166" t="str">
        <f t="shared" si="175"/>
        <v>只</v>
      </c>
      <c r="F479" s="166">
        <v>1</v>
      </c>
      <c r="G479" s="42">
        <f t="shared" si="176"/>
        <v>93</v>
      </c>
      <c r="H479" s="42">
        <f t="shared" si="177"/>
        <v>93</v>
      </c>
      <c r="I479" s="167"/>
      <c r="J479" s="168">
        <f t="shared" si="178"/>
        <v>1</v>
      </c>
      <c r="K479" s="169">
        <f t="shared" si="179"/>
        <v>93</v>
      </c>
      <c r="L479" s="170">
        <f>IFERROR(VLOOKUP(C479,元件库!$B:$O,10,FALSE),"1.00")</f>
        <v>1</v>
      </c>
      <c r="M479" s="171">
        <f>IFERROR(VLOOKUP(C479,元件库!$B:$O,11,FALSE),"")</f>
        <v>93</v>
      </c>
      <c r="N479" s="172" t="str">
        <f t="shared" ca="1" si="180"/>
        <v/>
      </c>
      <c r="O479" s="157"/>
      <c r="W479" s="162"/>
    </row>
    <row r="480" spans="1:23" s="175" customFormat="1" ht="16.5" customHeight="1" x14ac:dyDescent="0.2">
      <c r="A480" s="38">
        <f>COUNTIF($J$1:J480,"!")</f>
        <v>30</v>
      </c>
      <c r="B480" s="163" t="str">
        <f>IFERROR(VLOOKUP(C480,元件库!$B:$O,3,FALSE),"")</f>
        <v>带电显示器</v>
      </c>
      <c r="C480" s="164" t="s">
        <v>1897</v>
      </c>
      <c r="D480" s="165" t="str">
        <f>IFERROR(VLOOKUP(C480,元件库!$B:$O,2,FALSE),"")</f>
        <v>江山鑫源</v>
      </c>
      <c r="E480" s="166" t="str">
        <f>IF(D480="欣利铜材","米",IF(B480="氧化锌避雷器","组","只"))</f>
        <v>只</v>
      </c>
      <c r="F480" s="166">
        <v>1</v>
      </c>
      <c r="G480" s="42">
        <f>IFERROR(J480*K480,"")</f>
        <v>33</v>
      </c>
      <c r="H480" s="42">
        <f>IFERROR(G480*F480,"")</f>
        <v>33</v>
      </c>
      <c r="I480" s="167"/>
      <c r="J480" s="168">
        <f>P$1</f>
        <v>1</v>
      </c>
      <c r="K480" s="169">
        <f>IFERROR(M480*L480,"")</f>
        <v>33</v>
      </c>
      <c r="L480" s="170">
        <f>IFERROR(VLOOKUP(C480,元件库!$B:$O,10,FALSE),"1.00")</f>
        <v>1</v>
      </c>
      <c r="M480" s="171">
        <f>IFERROR(VLOOKUP(C480,元件库!$B:$O,11,FALSE),"")</f>
        <v>33</v>
      </c>
      <c r="N480" s="172" t="str">
        <f t="shared" ca="1" si="180"/>
        <v/>
      </c>
      <c r="O480" s="157"/>
      <c r="W480" s="162"/>
    </row>
    <row r="481" spans="1:23" s="175" customFormat="1" ht="16.5" customHeight="1" x14ac:dyDescent="0.2">
      <c r="A481" s="38">
        <f>COUNTIF($J$1:J481,"!")</f>
        <v>30</v>
      </c>
      <c r="B481" s="163" t="str">
        <f>IFERROR(VLOOKUP(C481,元件库!$B:$O,3,FALSE),"")</f>
        <v>电磁锁</v>
      </c>
      <c r="C481" s="164" t="s">
        <v>98</v>
      </c>
      <c r="D481" s="165" t="str">
        <f>IFERROR(VLOOKUP(C481,元件库!$B:$O,2,FALSE),"")</f>
        <v>哈陆拉</v>
      </c>
      <c r="E481" s="166" t="str">
        <f>IF(D481="欣利铜材","米",IF(B481="氧化锌避雷器","组","只"))</f>
        <v>只</v>
      </c>
      <c r="F481" s="166">
        <v>1</v>
      </c>
      <c r="G481" s="42">
        <f>IFERROR(J481*K481,"")</f>
        <v>55</v>
      </c>
      <c r="H481" s="42">
        <f>IFERROR(G481*F481,"")</f>
        <v>55</v>
      </c>
      <c r="I481" s="167"/>
      <c r="J481" s="168">
        <f t="shared" ref="J481:J487" si="181">P$1</f>
        <v>1</v>
      </c>
      <c r="K481" s="169">
        <f>IFERROR(M481*L481,"")</f>
        <v>55</v>
      </c>
      <c r="L481" s="170">
        <f>IFERROR(VLOOKUP(C481,元件库!$B:$O,10,FALSE),"1.00")</f>
        <v>1</v>
      </c>
      <c r="M481" s="171">
        <f>IFERROR(VLOOKUP(C481,元件库!$B:$O,11,FALSE),"")</f>
        <v>55</v>
      </c>
      <c r="N481" s="172" t="str">
        <f t="shared" ca="1" si="180"/>
        <v/>
      </c>
      <c r="O481" s="157"/>
      <c r="W481" s="162"/>
    </row>
    <row r="482" spans="1:23" s="175" customFormat="1" ht="16.5" customHeight="1" x14ac:dyDescent="0.2">
      <c r="A482" s="38">
        <f>COUNTIF($J$1:J482,"!")</f>
        <v>30</v>
      </c>
      <c r="B482" s="163" t="str">
        <f>IFERROR(VLOOKUP(C482,元件库!$B:$O,3,FALSE),"")</f>
        <v>温湿度控制器</v>
      </c>
      <c r="C482" s="164" t="s">
        <v>153</v>
      </c>
      <c r="D482" s="165" t="str">
        <f>IFERROR(VLOOKUP(C482,元件库!$B:$O,2,FALSE),"")</f>
        <v>实德电气</v>
      </c>
      <c r="E482" s="166" t="str">
        <f t="shared" ref="E482:E487" si="182">IF(D482="欣利铜材","米",IF(B482="氧化锌避雷器","组","只"))</f>
        <v>只</v>
      </c>
      <c r="F482" s="166">
        <v>1</v>
      </c>
      <c r="G482" s="42">
        <f t="shared" ref="G482:G487" si="183">IFERROR(J482*K482,"")</f>
        <v>110</v>
      </c>
      <c r="H482" s="42">
        <f t="shared" ref="H482:H487" si="184">IFERROR(G482*F482,"")</f>
        <v>110</v>
      </c>
      <c r="I482" s="167"/>
      <c r="J482" s="168">
        <f t="shared" si="181"/>
        <v>1</v>
      </c>
      <c r="K482" s="169">
        <f t="shared" ref="K482:K487" si="185">IFERROR(M482*L482,"")</f>
        <v>110</v>
      </c>
      <c r="L482" s="170">
        <f>IFERROR(VLOOKUP(C482,元件库!$B:$O,10,FALSE),"1.00")</f>
        <v>1</v>
      </c>
      <c r="M482" s="171">
        <f>IFERROR(VLOOKUP(C482,元件库!$B:$O,11,FALSE),"")</f>
        <v>110</v>
      </c>
      <c r="N482" s="172" t="str">
        <f t="shared" ca="1" si="180"/>
        <v/>
      </c>
      <c r="O482" s="157"/>
    </row>
    <row r="483" spans="1:23" s="175" customFormat="1" ht="16.5" customHeight="1" x14ac:dyDescent="0.2">
      <c r="A483" s="38">
        <f>COUNTIF($J$1:J483,"!")</f>
        <v>30</v>
      </c>
      <c r="B483" s="163" t="str">
        <f>IFERROR(VLOOKUP(C483,元件库!$B:$O,3,FALSE),"")</f>
        <v>加热器</v>
      </c>
      <c r="C483" s="164" t="s">
        <v>101</v>
      </c>
      <c r="D483" s="165" t="str">
        <f>IFERROR(VLOOKUP(C483,元件库!$B:$O,2,FALSE),"")</f>
        <v>实德电气</v>
      </c>
      <c r="E483" s="166" t="str">
        <f t="shared" si="182"/>
        <v>只</v>
      </c>
      <c r="F483" s="166">
        <v>2</v>
      </c>
      <c r="G483" s="42">
        <f t="shared" si="183"/>
        <v>18</v>
      </c>
      <c r="H483" s="42">
        <f t="shared" si="184"/>
        <v>36</v>
      </c>
      <c r="I483" s="167"/>
      <c r="J483" s="168">
        <f t="shared" si="181"/>
        <v>1</v>
      </c>
      <c r="K483" s="169">
        <f t="shared" si="185"/>
        <v>18</v>
      </c>
      <c r="L483" s="170">
        <f>IFERROR(VLOOKUP(C483,元件库!$B:$O,10,FALSE),"1.00")</f>
        <v>1</v>
      </c>
      <c r="M483" s="171">
        <f>IFERROR(VLOOKUP(C483,元件库!$B:$O,11,FALSE),"")</f>
        <v>18</v>
      </c>
      <c r="N483" s="172" t="str">
        <f t="shared" ca="1" si="180"/>
        <v/>
      </c>
      <c r="O483" s="157"/>
    </row>
    <row r="484" spans="1:23" s="175" customFormat="1" ht="16.5" customHeight="1" x14ac:dyDescent="0.2">
      <c r="A484" s="38">
        <f>COUNTIF($J$1:J484,"!")</f>
        <v>30</v>
      </c>
      <c r="B484" s="163" t="str">
        <f>IFERROR(VLOOKUP(C484,元件库!$B:$O,3,FALSE),"")</f>
        <v>高压热缩管</v>
      </c>
      <c r="C484" s="185" t="str">
        <f>"10KV"&amp;MID(C486,4,10)</f>
        <v>10KV-60*6</v>
      </c>
      <c r="D484" s="165" t="str">
        <f>IFERROR(VLOOKUP(C484,元件库!$B:$O,2,FALSE),"")</f>
        <v>精益联合集团</v>
      </c>
      <c r="E484" s="166" t="str">
        <f t="shared" si="182"/>
        <v>只</v>
      </c>
      <c r="F484" s="166">
        <f>ROUND(SUM(F486:F487),0)</f>
        <v>3</v>
      </c>
      <c r="G484" s="42">
        <f t="shared" si="183"/>
        <v>12</v>
      </c>
      <c r="H484" s="42">
        <f t="shared" si="184"/>
        <v>36</v>
      </c>
      <c r="I484" s="167"/>
      <c r="J484" s="168">
        <f t="shared" si="181"/>
        <v>1</v>
      </c>
      <c r="K484" s="169">
        <f t="shared" si="185"/>
        <v>12</v>
      </c>
      <c r="L484" s="170">
        <f>IFERROR(VLOOKUP(C484,元件库!$B:$O,10,FALSE),"1.00")</f>
        <v>1</v>
      </c>
      <c r="M484" s="171">
        <f>IFERROR(VLOOKUP(C484,元件库!$B:$O,11,FALSE),"")</f>
        <v>12</v>
      </c>
      <c r="N484" s="172" t="str">
        <f t="shared" ca="1" si="180"/>
        <v/>
      </c>
      <c r="O484" s="157"/>
    </row>
    <row r="485" spans="1:23" s="175" customFormat="1" ht="16.5" customHeight="1" x14ac:dyDescent="0.2">
      <c r="A485" s="38">
        <f>COUNTIF($J$1:J485,"!")</f>
        <v>30</v>
      </c>
      <c r="B485" s="163" t="str">
        <f>IFERROR(VLOOKUP(C485,元件库!$B:$O,3,FALSE),"")</f>
        <v>铜排</v>
      </c>
      <c r="C485" s="185" t="s">
        <v>1889</v>
      </c>
      <c r="D485" s="165" t="str">
        <f>IFERROR(VLOOKUP(C485,元件库!$B:$O,2,FALSE),"")</f>
        <v>欣利铜材</v>
      </c>
      <c r="E485" s="166" t="str">
        <f t="shared" si="182"/>
        <v>米</v>
      </c>
      <c r="F485" s="166">
        <v>6</v>
      </c>
      <c r="G485" s="42">
        <f t="shared" si="183"/>
        <v>182.62799999999999</v>
      </c>
      <c r="H485" s="42">
        <f t="shared" si="184"/>
        <v>1095.768</v>
      </c>
      <c r="I485" s="167"/>
      <c r="J485" s="168">
        <f t="shared" si="181"/>
        <v>1</v>
      </c>
      <c r="K485" s="169">
        <f t="shared" si="185"/>
        <v>182.62799999999999</v>
      </c>
      <c r="L485" s="170">
        <f>IFERROR(VLOOKUP(C485,元件库!$B:$O,10,FALSE),"1.00")</f>
        <v>1</v>
      </c>
      <c r="M485" s="171">
        <f>IFERROR(VLOOKUP(C485,元件库!$B:$O,11,FALSE),"")</f>
        <v>182.62799999999999</v>
      </c>
      <c r="N485" s="172" t="str">
        <f t="shared" ca="1" si="180"/>
        <v/>
      </c>
      <c r="O485" s="174" t="str">
        <f>O487</f>
        <v>HXGN-800*900*2000</v>
      </c>
    </row>
    <row r="486" spans="1:23" s="175" customFormat="1" ht="16.5" customHeight="1" x14ac:dyDescent="0.2">
      <c r="A486" s="38">
        <f>COUNTIF($J$1:J486,"!")</f>
        <v>30</v>
      </c>
      <c r="B486" s="163" t="s">
        <v>2171</v>
      </c>
      <c r="C486" s="185" t="s">
        <v>1889</v>
      </c>
      <c r="D486" s="165" t="str">
        <f>IFERROR(VLOOKUP(C486,元件库!$B:$O,2,FALSE),"")</f>
        <v>欣利铜材</v>
      </c>
      <c r="E486" s="166" t="str">
        <f t="shared" si="182"/>
        <v>米</v>
      </c>
      <c r="F486" s="166">
        <f>1*MID(O486,FIND("-",O486)+1,FIND("*",O486)-FIND("-",O486)-1)/1000*IF(B486="水平排",3,1)+IF(AND(B486="零母排",VLOOKUP(A486,A$1:B483,2,FALSE)="低压进线柜"),1.5,0)</f>
        <v>2.4000000000000004</v>
      </c>
      <c r="G486" s="42">
        <f t="shared" si="183"/>
        <v>182.62799999999999</v>
      </c>
      <c r="H486" s="42">
        <f t="shared" si="184"/>
        <v>438.30720000000002</v>
      </c>
      <c r="I486" s="167"/>
      <c r="J486" s="168">
        <f t="shared" si="181"/>
        <v>1</v>
      </c>
      <c r="K486" s="169">
        <f t="shared" si="185"/>
        <v>182.62799999999999</v>
      </c>
      <c r="L486" s="170">
        <f>IFERROR(VLOOKUP(C486,元件库!$B:$O,10,FALSE),"1.00")</f>
        <v>1</v>
      </c>
      <c r="M486" s="171">
        <f>IFERROR(VLOOKUP(C486,元件库!$B:$O,11,FALSE),"")</f>
        <v>182.62799999999999</v>
      </c>
      <c r="N486" s="172" t="str">
        <f t="shared" ca="1" si="180"/>
        <v/>
      </c>
      <c r="O486" s="174" t="str">
        <f>O489</f>
        <v>HXGN-800*900*2000</v>
      </c>
    </row>
    <row r="487" spans="1:23" s="175" customFormat="1" ht="16.5" customHeight="1" x14ac:dyDescent="0.2">
      <c r="A487" s="38">
        <f>COUNTIF($J$1:J487,"!")</f>
        <v>30</v>
      </c>
      <c r="B487" s="163" t="s">
        <v>2172</v>
      </c>
      <c r="C487" s="185" t="s">
        <v>2326</v>
      </c>
      <c r="D487" s="165" t="str">
        <f>IFERROR(VLOOKUP(C487,元件库!$B:$O,2,FALSE),"")</f>
        <v>欣利铜材</v>
      </c>
      <c r="E487" s="166" t="str">
        <f t="shared" si="182"/>
        <v>米</v>
      </c>
      <c r="F487" s="166">
        <f>1*MID(O487,FIND("-",O487)+1,FIND("*",O487)-FIND("-",O487)-1)/1000*IF(B487="水平排",3,1)+IF(AND(B487="零母排",VLOOKUP(A487,A$1:B484,2,FALSE)="低压进线柜"),1.5,0)</f>
        <v>0.8</v>
      </c>
      <c r="G487" s="42">
        <f t="shared" si="183"/>
        <v>81.167999999999992</v>
      </c>
      <c r="H487" s="42">
        <f t="shared" si="184"/>
        <v>64.934399999999997</v>
      </c>
      <c r="I487" s="167"/>
      <c r="J487" s="168">
        <f t="shared" si="181"/>
        <v>1</v>
      </c>
      <c r="K487" s="169">
        <f t="shared" si="185"/>
        <v>81.167999999999992</v>
      </c>
      <c r="L487" s="170">
        <f>IFERROR(VLOOKUP(C487,元件库!$B:$O,10,FALSE),"1.00")</f>
        <v>1</v>
      </c>
      <c r="M487" s="171">
        <f>IFERROR(VLOOKUP(C487,元件库!$B:$O,11,FALSE),"")</f>
        <v>81.167999999999992</v>
      </c>
      <c r="N487" s="172" t="str">
        <f t="shared" ca="1" si="180"/>
        <v/>
      </c>
      <c r="O487" s="174" t="str">
        <f>O490</f>
        <v>HXGN-800*900*2000</v>
      </c>
    </row>
    <row r="488" spans="1:23" s="162" customFormat="1" ht="16.5" customHeight="1" x14ac:dyDescent="0.2">
      <c r="A488" s="38">
        <f>COUNTIF($J$1:J488,"!")</f>
        <v>30</v>
      </c>
      <c r="B488" s="177" t="s">
        <v>107</v>
      </c>
      <c r="C488" s="164"/>
      <c r="D488" s="166"/>
      <c r="E488" s="166"/>
      <c r="F488" s="166"/>
      <c r="G488" s="42"/>
      <c r="H488" s="42"/>
      <c r="I488" s="178">
        <f>SUM(H474:H488)</f>
        <v>4383.0096000000003</v>
      </c>
      <c r="J488" s="168"/>
      <c r="K488" s="169"/>
      <c r="L488" s="170"/>
      <c r="M488" s="171"/>
      <c r="O488" s="161"/>
      <c r="P488" s="157"/>
    </row>
    <row r="489" spans="1:23" ht="16.5" customHeight="1" x14ac:dyDescent="0.2">
      <c r="A489" s="38">
        <f>COUNTIF($J$1:J489,"!")</f>
        <v>30</v>
      </c>
      <c r="B489" s="179" t="s">
        <v>47</v>
      </c>
      <c r="C489" s="164"/>
      <c r="D489" s="166"/>
      <c r="E489" s="166"/>
      <c r="F489" s="166"/>
      <c r="G489" s="42"/>
      <c r="H489" s="42">
        <f>IFERROR(J489*M489*L489,"")</f>
        <v>800</v>
      </c>
      <c r="I489" s="167"/>
      <c r="J489" s="168">
        <f>P$1</f>
        <v>1</v>
      </c>
      <c r="K489" s="169">
        <f>IFERROR(M489*L489,"")</f>
        <v>800</v>
      </c>
      <c r="L489" s="170" t="str">
        <f>IFERROR(VLOOKUP(C489,元件库!$B:$O,10,FALSE),"1.00")</f>
        <v>1.00</v>
      </c>
      <c r="M489" s="171">
        <f>IF(ISNUMBER(FIND("提升",VLOOKUP(A489,A$1:B488,2,FALSE))),IF(B489="成套费",400,200),IF(OR(ISNUMBER(FIND("XGN",O489)),ISNUMBER(FIND("HXGN",O489))),IF(B489="成套费",800,600),IF(ISNUMBER(FIND("KYN28",O489)),IF(B489="成套费",900,700),"")))</f>
        <v>800</v>
      </c>
      <c r="O489" s="180" t="str">
        <f>C474</f>
        <v>HXGN-800*900*2000</v>
      </c>
      <c r="P489" s="162"/>
      <c r="R489" s="157"/>
      <c r="S489" s="157"/>
    </row>
    <row r="490" spans="1:23" s="161" customFormat="1" ht="16.5" customHeight="1" x14ac:dyDescent="0.2">
      <c r="A490" s="38">
        <f>COUNTIF($J$1:J490,"!")</f>
        <v>30</v>
      </c>
      <c r="B490" s="179" t="s">
        <v>49</v>
      </c>
      <c r="C490" s="164"/>
      <c r="D490" s="166"/>
      <c r="E490" s="166"/>
      <c r="F490" s="166"/>
      <c r="G490" s="42"/>
      <c r="H490" s="42">
        <f>IFERROR(J490*M490*L490,"")</f>
        <v>600</v>
      </c>
      <c r="I490" s="167"/>
      <c r="J490" s="168">
        <f>P$1</f>
        <v>1</v>
      </c>
      <c r="K490" s="169">
        <f>IFERROR(M490*L490,"")</f>
        <v>600</v>
      </c>
      <c r="L490" s="170" t="str">
        <f>IFERROR(VLOOKUP(C490,元件库!$B:$O,10,FALSE),"1.00")</f>
        <v>1.00</v>
      </c>
      <c r="M490" s="171">
        <f>IF(ISNUMBER(FIND("提升",VLOOKUP(A490,A$1:B489,2,FALSE))),IF(B490="成套费",400,200),IF(OR(ISNUMBER(FIND("XGN",O490)),ISNUMBER(FIND("HXGN",O490))),IF(B490="成套费",800,600),IF(ISNUMBER(FIND("KYN28",O490)),IF(B490="成套费",900,700),"")))</f>
        <v>600</v>
      </c>
      <c r="O490" s="174" t="str">
        <f>O489</f>
        <v>HXGN-800*900*2000</v>
      </c>
      <c r="P490" s="162"/>
      <c r="Q490" s="162"/>
    </row>
    <row r="491" spans="1:23" s="161" customFormat="1" ht="16.5" customHeight="1" x14ac:dyDescent="0.2">
      <c r="A491" s="38">
        <f>COUNTIF($J$1:J491,"!")</f>
        <v>30</v>
      </c>
      <c r="B491" s="179" t="s">
        <v>79</v>
      </c>
      <c r="C491" s="164"/>
      <c r="D491" s="166"/>
      <c r="E491" s="166"/>
      <c r="F491" s="166"/>
      <c r="G491" s="42"/>
      <c r="H491" s="42">
        <f>K491*L491</f>
        <v>693.96115199999997</v>
      </c>
      <c r="I491" s="167"/>
      <c r="J491" s="168"/>
      <c r="K491" s="169">
        <f>SUM(H489:H490)+I488</f>
        <v>5783.0096000000003</v>
      </c>
      <c r="L491" s="279">
        <f>R$1</f>
        <v>0.12</v>
      </c>
      <c r="M491" s="171"/>
      <c r="O491" s="181"/>
      <c r="P491" s="162"/>
      <c r="Q491" s="162"/>
    </row>
    <row r="492" spans="1:23" ht="16.5" customHeight="1" x14ac:dyDescent="0.2">
      <c r="A492" s="38">
        <f>COUNTIF($J$1:J492,"!")</f>
        <v>30</v>
      </c>
      <c r="B492" s="179" t="s">
        <v>108</v>
      </c>
      <c r="C492" s="164"/>
      <c r="D492" s="166"/>
      <c r="E492" s="166"/>
      <c r="F492" s="166"/>
      <c r="G492" s="184"/>
      <c r="H492" s="42">
        <f>K492*L492</f>
        <v>194.30912255999999</v>
      </c>
      <c r="I492" s="167"/>
      <c r="J492" s="168"/>
      <c r="K492" s="169">
        <f>H491+K491</f>
        <v>6476.9707520000002</v>
      </c>
      <c r="L492" s="279">
        <f>T$1</f>
        <v>0.03</v>
      </c>
      <c r="M492" s="171"/>
      <c r="O492" s="161"/>
      <c r="P492" s="162"/>
      <c r="R492" s="157"/>
      <c r="S492" s="157"/>
    </row>
    <row r="493" spans="1:23" ht="16.5" customHeight="1" x14ac:dyDescent="0.15">
      <c r="A493" s="32">
        <f>COUNTIF($J$1:J493,"!")</f>
        <v>31</v>
      </c>
      <c r="B493" s="33" t="str">
        <f>IF(MID(H493,1,3)="SCB","干式","油式")&amp;B494</f>
        <v>干式变压器</v>
      </c>
      <c r="C493" s="158" t="s">
        <v>179</v>
      </c>
      <c r="D493" s="159" t="s">
        <v>3160</v>
      </c>
      <c r="E493" s="34" t="s">
        <v>23</v>
      </c>
      <c r="F493" s="159">
        <v>1</v>
      </c>
      <c r="G493" s="36">
        <f>ROUND(SUM(H494:H497),0)</f>
        <v>30020</v>
      </c>
      <c r="H493" s="160" t="str">
        <f>IF(ISNUMBER(FIND("M",C494)),MID(C494,1,FIND(" ",C494)-1),MID(C494,1,FIND(" ",C494)-1))</f>
        <v>SCB11-400KVA</v>
      </c>
      <c r="I493" s="47" t="str">
        <f>MID(C494,LEN(H493)+2,30)</f>
        <v>全铝</v>
      </c>
      <c r="J493" s="48" t="s">
        <v>24</v>
      </c>
      <c r="K493" s="49"/>
      <c r="L493" s="50"/>
      <c r="M493" s="51"/>
      <c r="N493" s="161" t="str">
        <f>IF(ISNUMBER(FIND("M",C494)),MID(C494,FIND("M",C494)+2,FIND(" ",C494)-FIND("M",C494)-1),MID(C494,FIND("-",C494)+1,FIND(" ",C494)-FIND("-",C494)))</f>
        <v xml:space="preserve">400KVA </v>
      </c>
      <c r="O493" s="297"/>
    </row>
    <row r="494" spans="1:23" ht="16.5" customHeight="1" x14ac:dyDescent="0.2">
      <c r="A494" s="38">
        <f>COUNTIF($J$1:J494,"!")</f>
        <v>31</v>
      </c>
      <c r="B494" s="163" t="str">
        <f>IFERROR(VLOOKUP(C494,元件库!$B:$O,3,FALSE),"")</f>
        <v>变压器</v>
      </c>
      <c r="C494" s="298" t="s">
        <v>3136</v>
      </c>
      <c r="D494" s="165">
        <f>IFERROR(VLOOKUP(C494,元件库!$B:$O,2,FALSE),"")</f>
        <v>0</v>
      </c>
      <c r="E494" s="166" t="s">
        <v>29</v>
      </c>
      <c r="F494" s="166">
        <v>1</v>
      </c>
      <c r="G494" s="42">
        <f>IFERROR(J494*K494,"")</f>
        <v>30020</v>
      </c>
      <c r="H494" s="42">
        <f>IFERROR(G494*F494,"")</f>
        <v>30020</v>
      </c>
      <c r="I494" s="167"/>
      <c r="J494" s="168">
        <f>P$1</f>
        <v>1</v>
      </c>
      <c r="K494" s="169">
        <f>IFERROR(M494*L494,"")</f>
        <v>30020</v>
      </c>
      <c r="L494" s="170">
        <v>0.95</v>
      </c>
      <c r="M494" s="171">
        <f>IFERROR(VLOOKUP(C494,元件库!$B:$O,11,FALSE),"")</f>
        <v>31600</v>
      </c>
      <c r="N494" s="172" t="str">
        <f ca="1">IF(ISNUMBER(FIND("IF",_xlfn.FORMULATEXT(M494))),"","值")</f>
        <v/>
      </c>
      <c r="O494" s="174"/>
      <c r="P494" s="161" t="str">
        <f>IFERROR(((MID(C494,FIND(" ",C494)+1,FIND("*",C494)-FIND(" ",C494)-1)*MID(C494,FIND("*",C494)+1,FIND("*",MID(C494,FIND("*",C494)+1,30))-1))+(MID(C494,FIND(" ",C494)+1,FIND("*",C494)-FIND(" ",C494)-1)*MID(C494,FIND("*",C494)+1+FIND("*",MID(C494,FIND("*",C494)+1,30)),30))+(MID(C494,FIND("*",C494)+1,FIND("*",MID(C494,FIND("*",C494)+1,30))-1)*MID(C494,FIND("*",C494)+1+FIND("*",MID(C494,FIND("*",C494)+1,30)),30)))/500000+IFERROR(IF(ROUND(MID(C494,FIND("*",C494)+FIND("*",MID(C494,FIND("*",C494)+1,30))+1,10),0)&gt;=350,(MID(C494,FIND(" ",C494)+1,FIND("*",C494)-FIND(" ",C494)-1)*MID(C494,FIND("*",C494)+1,FIND("*",MID(C494,FIND("*",C494)+1,30))-1))/2000000,(MID(C494,FIND(" ",C494)+1,FIND("*",C494)-FIND(" ",C494)-1)*MID(C494,FIND("*",C494)+1,FIND("*",MID(C494,FIND("*",C494)+1,30))-1))/1000000),""),"")</f>
        <v/>
      </c>
      <c r="Q494" s="157"/>
    </row>
    <row r="495" spans="1:23" ht="16.5" customHeight="1" x14ac:dyDescent="0.2">
      <c r="A495" s="38">
        <f>COUNTIF($J$1:J495,"!")</f>
        <v>31</v>
      </c>
      <c r="B495" s="177" t="s">
        <v>107</v>
      </c>
      <c r="C495" s="164"/>
      <c r="D495" s="166"/>
      <c r="E495" s="166"/>
      <c r="F495" s="166"/>
      <c r="G495" s="42"/>
      <c r="H495" s="42"/>
      <c r="I495" s="178">
        <f>SUM(H494:H495)</f>
        <v>30020</v>
      </c>
      <c r="J495" s="168"/>
      <c r="K495" s="169"/>
      <c r="L495" s="170"/>
      <c r="M495" s="171"/>
      <c r="O495" s="174"/>
      <c r="P495" s="162"/>
      <c r="Q495" s="157"/>
    </row>
    <row r="496" spans="1:23" s="161" customFormat="1" ht="16.5" customHeight="1" x14ac:dyDescent="0.2">
      <c r="A496" s="38">
        <f>COUNTIF($J$1:J496,"!")</f>
        <v>31</v>
      </c>
      <c r="B496" s="179" t="s">
        <v>79</v>
      </c>
      <c r="C496" s="164"/>
      <c r="D496" s="166"/>
      <c r="E496" s="166"/>
      <c r="F496" s="166"/>
      <c r="G496" s="42"/>
      <c r="H496" s="42">
        <f>K496*L496</f>
        <v>0</v>
      </c>
      <c r="I496" s="167"/>
      <c r="J496" s="168"/>
      <c r="K496" s="169">
        <f>I495</f>
        <v>30020</v>
      </c>
      <c r="L496" s="279"/>
      <c r="M496" s="171"/>
      <c r="O496" s="181"/>
      <c r="P496" s="162"/>
      <c r="Q496" s="162"/>
    </row>
    <row r="497" spans="1:19" ht="16.5" customHeight="1" x14ac:dyDescent="0.2">
      <c r="A497" s="38">
        <f>COUNTIF($J$1:J497,"!")</f>
        <v>31</v>
      </c>
      <c r="B497" s="179" t="s">
        <v>108</v>
      </c>
      <c r="C497" s="164"/>
      <c r="D497" s="166"/>
      <c r="E497" s="166"/>
      <c r="F497" s="166"/>
      <c r="G497" s="184"/>
      <c r="H497" s="42">
        <f>K497*L497</f>
        <v>0</v>
      </c>
      <c r="I497" s="167"/>
      <c r="J497" s="168"/>
      <c r="K497" s="169">
        <f>H496+K496</f>
        <v>30020</v>
      </c>
      <c r="L497" s="299"/>
      <c r="M497" s="171"/>
      <c r="O497" s="161"/>
      <c r="P497" s="162"/>
      <c r="R497" s="157"/>
      <c r="S497" s="157"/>
    </row>
    <row r="498" spans="1:19" ht="16.5" customHeight="1" x14ac:dyDescent="0.15">
      <c r="A498" s="32">
        <f>COUNTIF($J$1:J498,"!")</f>
        <v>32</v>
      </c>
      <c r="B498" s="33" t="s">
        <v>3042</v>
      </c>
      <c r="C498" s="158" t="s">
        <v>3162</v>
      </c>
      <c r="D498" s="159" t="s">
        <v>3160</v>
      </c>
      <c r="E498" s="34" t="s">
        <v>23</v>
      </c>
      <c r="F498" s="159">
        <v>1</v>
      </c>
      <c r="G498" s="36">
        <f>ROUND(SUM(H499:H515),0)</f>
        <v>10395</v>
      </c>
      <c r="H498" s="160" t="str">
        <f>IF(ISNUMBER(FIND(" ",C499)),MID(C499,1,FIND(" ",C499)-1),IF(ISNUMBER(FIND("电容柜",B498)),"GGJ",MID(C499,1,FIND("-",C499)-1)))</f>
        <v>GGD</v>
      </c>
      <c r="I498" s="47" t="str">
        <f>MID(C499,IF(LEN(C499)-LEN(H498)&gt;3,LEN(H498)+2,1),30)</f>
        <v>800*600*2000</v>
      </c>
      <c r="J498" s="48" t="s">
        <v>24</v>
      </c>
      <c r="K498" s="49"/>
      <c r="L498" s="50"/>
      <c r="M498" s="51"/>
      <c r="O498" s="162"/>
    </row>
    <row r="499" spans="1:19" ht="16.5" customHeight="1" x14ac:dyDescent="0.2">
      <c r="A499" s="38">
        <f>COUNTIF($J$1:J499,"!")</f>
        <v>32</v>
      </c>
      <c r="B499" s="163" t="str">
        <f>IFERROR(VLOOKUP(C499,元件库!$B:$O,3,FALSE),"")</f>
        <v>壳体W*D*H</v>
      </c>
      <c r="C499" s="164" t="s">
        <v>2337</v>
      </c>
      <c r="D499" s="165" t="str">
        <f>IFERROR(VLOOKUP(C499,元件库!$B:$O,2,FALSE),"")</f>
        <v>精益联合集团</v>
      </c>
      <c r="E499" s="166" t="str">
        <f t="shared" ref="E499:E510" si="186">IF(D499="欣利铜材","米",IF(B499="熔断器","套","只"))</f>
        <v>只</v>
      </c>
      <c r="F499" s="166">
        <v>1</v>
      </c>
      <c r="G499" s="42">
        <f t="shared" ref="G499:G510" si="187">IFERROR(J499*K499,"")</f>
        <v>1782.4999999999998</v>
      </c>
      <c r="H499" s="42">
        <f t="shared" ref="H499:H510" si="188">IFERROR(G499*F499,"")</f>
        <v>1782.4999999999998</v>
      </c>
      <c r="I499" s="167"/>
      <c r="J499" s="168">
        <f>P$1</f>
        <v>1</v>
      </c>
      <c r="K499" s="169">
        <f t="shared" ref="K499:K510" si="189">IFERROR(M499*L499,"")</f>
        <v>1782.4999999999998</v>
      </c>
      <c r="L499" s="170">
        <v>1.1499999999999999</v>
      </c>
      <c r="M499" s="171">
        <f>IFERROR(VLOOKUP(C499,元件库!$B:$O,11,FALSE),"")</f>
        <v>1550</v>
      </c>
      <c r="N499" s="172" t="str">
        <f t="shared" ref="N499:N510" ca="1" si="190">IF(AND(ISNUMBER(FIND("IF",_xlfn.FORMULATEXT(L499))),ISNUMBER(FIND("IF",_xlfn.FORMULATEXT(M499)))),"","值")</f>
        <v>值</v>
      </c>
      <c r="O499" s="157" t="str">
        <f>B498</f>
        <v>低压进线柜</v>
      </c>
    </row>
    <row r="500" spans="1:19" s="173" customFormat="1" ht="16.5" customHeight="1" x14ac:dyDescent="0.2">
      <c r="A500" s="38">
        <f>COUNTIF($J$1:J500,"!")</f>
        <v>32</v>
      </c>
      <c r="B500" s="163" t="str">
        <f>IFERROR(VLOOKUP(C500,元件库!$B:$O,3,FALSE),"")</f>
        <v/>
      </c>
      <c r="C500" s="164" t="s">
        <v>3052</v>
      </c>
      <c r="D500" s="165" t="str">
        <f>IFERROR(VLOOKUP(C500,元件库!$B:$O,2,FALSE),"")</f>
        <v/>
      </c>
      <c r="E500" s="166" t="str">
        <f t="shared" si="186"/>
        <v>只</v>
      </c>
      <c r="F500" s="166">
        <v>3</v>
      </c>
      <c r="G500" s="42" t="str">
        <f t="shared" si="187"/>
        <v/>
      </c>
      <c r="H500" s="42" t="str">
        <f t="shared" si="188"/>
        <v/>
      </c>
      <c r="I500" s="167"/>
      <c r="J500" s="168">
        <f t="shared" ref="J500:J510" si="191">P$1</f>
        <v>1</v>
      </c>
      <c r="K500" s="169" t="str">
        <f t="shared" si="189"/>
        <v/>
      </c>
      <c r="L500" s="170" t="str">
        <f>IFERROR(VLOOKUP(C500,元件库!$B:$O,10,FALSE),"1.00")</f>
        <v>1.00</v>
      </c>
      <c r="M500" s="171" t="str">
        <f>IFERROR(VLOOKUP(C500,元件库!$B:$O,11,FALSE),"")</f>
        <v/>
      </c>
      <c r="N500" s="172" t="str">
        <f t="shared" ca="1" si="190"/>
        <v/>
      </c>
      <c r="P500" s="161"/>
    </row>
    <row r="501" spans="1:19" s="173" customFormat="1" ht="16.5" customHeight="1" x14ac:dyDescent="0.2">
      <c r="A501" s="38">
        <f>COUNTIF($J$1:J501,"!")</f>
        <v>32</v>
      </c>
      <c r="B501" s="163" t="str">
        <f>IFERROR(VLOOKUP(C501,元件库!$B:$O,3,FALSE),"")</f>
        <v>刀开关</v>
      </c>
      <c r="C501" s="164" t="s">
        <v>3047</v>
      </c>
      <c r="D501" s="165" t="str">
        <f>IFERROR(VLOOKUP(C501,元件库!$B:$O,2,FALSE),"")</f>
        <v>精益联合集团</v>
      </c>
      <c r="E501" s="166" t="str">
        <f t="shared" si="186"/>
        <v>只</v>
      </c>
      <c r="F501" s="166">
        <v>1</v>
      </c>
      <c r="G501" s="42">
        <f t="shared" si="187"/>
        <v>324.5</v>
      </c>
      <c r="H501" s="42">
        <f t="shared" si="188"/>
        <v>324.5</v>
      </c>
      <c r="I501" s="167"/>
      <c r="J501" s="168">
        <f t="shared" si="191"/>
        <v>1</v>
      </c>
      <c r="K501" s="169">
        <f t="shared" si="189"/>
        <v>324.5</v>
      </c>
      <c r="L501" s="170">
        <f>IFERROR(VLOOKUP(C501,元件库!$B:$O,10,FALSE),"1.00")</f>
        <v>0.55000000000000004</v>
      </c>
      <c r="M501" s="171">
        <f>IFERROR(VLOOKUP(C501,元件库!$B:$O,11,FALSE),"")</f>
        <v>590</v>
      </c>
      <c r="N501" s="172" t="str">
        <f t="shared" ca="1" si="190"/>
        <v/>
      </c>
      <c r="P501" s="161"/>
    </row>
    <row r="502" spans="1:19" s="173" customFormat="1" ht="16.5" customHeight="1" x14ac:dyDescent="0.2">
      <c r="A502" s="38">
        <f>COUNTIF($J$1:J502,"!")</f>
        <v>32</v>
      </c>
      <c r="B502" s="163" t="str">
        <f>IFERROR(VLOOKUP(C502,元件库!$B:$O,3,FALSE),"")</f>
        <v>框架断路器</v>
      </c>
      <c r="C502" s="164" t="s">
        <v>3138</v>
      </c>
      <c r="D502" s="165" t="str">
        <f>IFERROR(VLOOKUP(C502,元件库!$B:$O,2,FALSE),"")</f>
        <v>吉坤电气</v>
      </c>
      <c r="E502" s="166" t="str">
        <f t="shared" si="186"/>
        <v>只</v>
      </c>
      <c r="F502" s="166">
        <v>1</v>
      </c>
      <c r="G502" s="42">
        <f t="shared" si="187"/>
        <v>3885</v>
      </c>
      <c r="H502" s="42">
        <f t="shared" si="188"/>
        <v>3885</v>
      </c>
      <c r="I502" s="167"/>
      <c r="J502" s="168">
        <f t="shared" si="191"/>
        <v>1</v>
      </c>
      <c r="K502" s="169">
        <f t="shared" si="189"/>
        <v>3885</v>
      </c>
      <c r="L502" s="170">
        <f>IFERROR(VLOOKUP(C502,元件库!$B:$O,10,FALSE),"1.00")</f>
        <v>1</v>
      </c>
      <c r="M502" s="171">
        <f>IFERROR(VLOOKUP(C502,元件库!$B:$O,11,FALSE),"")</f>
        <v>3885</v>
      </c>
      <c r="N502" s="172" t="str">
        <f t="shared" ca="1" si="190"/>
        <v/>
      </c>
      <c r="P502" s="161"/>
    </row>
    <row r="503" spans="1:19" s="173" customFormat="1" ht="16.5" customHeight="1" x14ac:dyDescent="0.2">
      <c r="A503" s="38">
        <f>COUNTIF($J$1:J503,"!")</f>
        <v>32</v>
      </c>
      <c r="B503" s="163" t="str">
        <f>IFERROR(VLOOKUP(C503,元件库!$B:$O,3,FALSE),"")</f>
        <v/>
      </c>
      <c r="C503" s="164" t="s">
        <v>3139</v>
      </c>
      <c r="D503" s="165" t="str">
        <f>IFERROR(VLOOKUP(C503,元件库!$B:$O,2,FALSE),"")</f>
        <v/>
      </c>
      <c r="E503" s="166" t="str">
        <f t="shared" si="186"/>
        <v>只</v>
      </c>
      <c r="F503" s="166">
        <v>3</v>
      </c>
      <c r="G503" s="42" t="str">
        <f t="shared" si="187"/>
        <v/>
      </c>
      <c r="H503" s="42" t="str">
        <f t="shared" si="188"/>
        <v/>
      </c>
      <c r="I503" s="167"/>
      <c r="J503" s="168">
        <f t="shared" si="191"/>
        <v>1</v>
      </c>
      <c r="K503" s="169" t="str">
        <f t="shared" si="189"/>
        <v/>
      </c>
      <c r="L503" s="170" t="str">
        <f>IFERROR(VLOOKUP(C503,元件库!$B:$O,10,FALSE),"1.00")</f>
        <v>1.00</v>
      </c>
      <c r="M503" s="171" t="str">
        <f>IFERROR(VLOOKUP(C503,元件库!$B:$O,11,FALSE),"")</f>
        <v/>
      </c>
      <c r="N503" s="172" t="str">
        <f t="shared" ca="1" si="190"/>
        <v/>
      </c>
      <c r="P503" s="161"/>
    </row>
    <row r="504" spans="1:19" s="173" customFormat="1" ht="16.5" customHeight="1" x14ac:dyDescent="0.2">
      <c r="A504" s="38">
        <f>COUNTIF($J$1:J504,"!")</f>
        <v>32</v>
      </c>
      <c r="B504" s="163" t="str">
        <f>IFERROR(VLOOKUP(C504,元件库!$B:$O,3,FALSE),"")</f>
        <v>电流.电压表</v>
      </c>
      <c r="C504" s="164" t="s">
        <v>1899</v>
      </c>
      <c r="D504" s="165" t="str">
        <f>IFERROR(VLOOKUP(C504,元件库!$B:$O,2,FALSE),"")</f>
        <v>精益联合集团</v>
      </c>
      <c r="E504" s="166" t="str">
        <f t="shared" si="186"/>
        <v>只</v>
      </c>
      <c r="F504" s="166">
        <v>6</v>
      </c>
      <c r="G504" s="42">
        <f t="shared" si="187"/>
        <v>13.750000000000002</v>
      </c>
      <c r="H504" s="42">
        <f t="shared" si="188"/>
        <v>82.500000000000014</v>
      </c>
      <c r="I504" s="167"/>
      <c r="J504" s="168">
        <f t="shared" si="191"/>
        <v>1</v>
      </c>
      <c r="K504" s="169">
        <f t="shared" si="189"/>
        <v>13.750000000000002</v>
      </c>
      <c r="L504" s="170">
        <f>IFERROR(VLOOKUP(C504,元件库!$B:$O,10,FALSE),"1.00")</f>
        <v>0.55000000000000004</v>
      </c>
      <c r="M504" s="171">
        <f>IFERROR(VLOOKUP(C504,元件库!$B:$O,11,FALSE),"")</f>
        <v>25</v>
      </c>
      <c r="N504" s="172" t="str">
        <f t="shared" ca="1" si="190"/>
        <v/>
      </c>
      <c r="P504" s="161"/>
    </row>
    <row r="505" spans="1:19" s="173" customFormat="1" ht="16.5" customHeight="1" x14ac:dyDescent="0.2">
      <c r="A505" s="38">
        <f>COUNTIF($J$1:J505,"!")</f>
        <v>32</v>
      </c>
      <c r="B505" s="163" t="str">
        <f>IFERROR(VLOOKUP(C505,元件库!$B:$O,3,FALSE),"")</f>
        <v>指示灯</v>
      </c>
      <c r="C505" s="164" t="s">
        <v>3044</v>
      </c>
      <c r="D505" s="165" t="str">
        <f>IFERROR(VLOOKUP(C505,元件库!$B:$O,2,FALSE),"")</f>
        <v>精益联合集团</v>
      </c>
      <c r="E505" s="166" t="str">
        <f t="shared" si="186"/>
        <v>只</v>
      </c>
      <c r="F505" s="166">
        <v>3</v>
      </c>
      <c r="G505" s="42">
        <f t="shared" si="187"/>
        <v>2.3100000000000005</v>
      </c>
      <c r="H505" s="42">
        <f t="shared" si="188"/>
        <v>6.9300000000000015</v>
      </c>
      <c r="I505" s="167"/>
      <c r="J505" s="168">
        <f t="shared" si="191"/>
        <v>1</v>
      </c>
      <c r="K505" s="169">
        <f t="shared" si="189"/>
        <v>2.3100000000000005</v>
      </c>
      <c r="L505" s="170">
        <f>IFERROR(VLOOKUP(C505,元件库!$B:$O,10,FALSE),"1.00")</f>
        <v>0.55000000000000004</v>
      </c>
      <c r="M505" s="171">
        <f>IFERROR(VLOOKUP(C505,元件库!$B:$O,11,FALSE),"")</f>
        <v>4.2</v>
      </c>
      <c r="N505" s="172" t="str">
        <f t="shared" ca="1" si="190"/>
        <v/>
      </c>
      <c r="P505" s="161"/>
    </row>
    <row r="506" spans="1:19" s="173" customFormat="1" ht="16.5" customHeight="1" x14ac:dyDescent="0.2">
      <c r="A506" s="38">
        <f>COUNTIF($J$1:J506,"!")</f>
        <v>32</v>
      </c>
      <c r="B506" s="163" t="str">
        <f>IFERROR(VLOOKUP(C506,元件库!$B:$O,3,FALSE),"")</f>
        <v/>
      </c>
      <c r="C506" s="164" t="s">
        <v>3045</v>
      </c>
      <c r="D506" s="165" t="str">
        <f>IFERROR(VLOOKUP(C506,元件库!$B:$O,2,FALSE),"")</f>
        <v/>
      </c>
      <c r="E506" s="166" t="str">
        <f t="shared" si="186"/>
        <v>只</v>
      </c>
      <c r="F506" s="166">
        <v>2</v>
      </c>
      <c r="G506" s="42" t="str">
        <f t="shared" si="187"/>
        <v/>
      </c>
      <c r="H506" s="42" t="str">
        <f t="shared" si="188"/>
        <v/>
      </c>
      <c r="I506" s="167"/>
      <c r="J506" s="168">
        <f t="shared" si="191"/>
        <v>1</v>
      </c>
      <c r="K506" s="169" t="str">
        <f t="shared" si="189"/>
        <v/>
      </c>
      <c r="L506" s="170" t="str">
        <f>IFERROR(VLOOKUP(C506,元件库!$B:$O,10,FALSE),"1.00")</f>
        <v>1.00</v>
      </c>
      <c r="M506" s="171" t="str">
        <f>IFERROR(VLOOKUP(C506,元件库!$B:$O,11,FALSE),"")</f>
        <v/>
      </c>
      <c r="N506" s="172" t="str">
        <f t="shared" ca="1" si="190"/>
        <v/>
      </c>
      <c r="P506" s="161"/>
    </row>
    <row r="507" spans="1:19" s="173" customFormat="1" ht="16.5" customHeight="1" x14ac:dyDescent="0.2">
      <c r="A507" s="38">
        <f>COUNTIF($J$1:J507,"!")</f>
        <v>32</v>
      </c>
      <c r="B507" s="163" t="str">
        <f>IFERROR(VLOOKUP(C507,元件库!$B:$O,3,FALSE),"")</f>
        <v>铜排</v>
      </c>
      <c r="C507" s="164" t="s">
        <v>2673</v>
      </c>
      <c r="D507" s="165" t="str">
        <f>IFERROR(VLOOKUP(C507,元件库!$B:$O,2,FALSE),"")</f>
        <v>欣利铜材</v>
      </c>
      <c r="E507" s="166" t="str">
        <f t="shared" si="186"/>
        <v>米</v>
      </c>
      <c r="F507" s="166">
        <v>11</v>
      </c>
      <c r="G507" s="42">
        <f t="shared" si="187"/>
        <v>126.82499999999999</v>
      </c>
      <c r="H507" s="42">
        <f t="shared" si="188"/>
        <v>1395.0749999999998</v>
      </c>
      <c r="I507" s="167"/>
      <c r="J507" s="168">
        <f t="shared" si="191"/>
        <v>1</v>
      </c>
      <c r="K507" s="169">
        <f t="shared" si="189"/>
        <v>126.82499999999999</v>
      </c>
      <c r="L507" s="170">
        <f>IFERROR(VLOOKUP(C507,元件库!$B:$O,10,FALSE),"1.00")</f>
        <v>1</v>
      </c>
      <c r="M507" s="171">
        <f>IFERROR(VLOOKUP(C507,元件库!$B:$O,11,FALSE),"")</f>
        <v>126.82499999999999</v>
      </c>
      <c r="N507" s="172" t="str">
        <f t="shared" ca="1" si="190"/>
        <v/>
      </c>
      <c r="P507" s="161"/>
    </row>
    <row r="508" spans="1:19" s="175" customFormat="1" ht="16.5" customHeight="1" x14ac:dyDescent="0.2">
      <c r="A508" s="38">
        <f>COUNTIF($J$1:J508,"!")</f>
        <v>32</v>
      </c>
      <c r="B508" s="163" t="s">
        <v>2171</v>
      </c>
      <c r="C508" s="164" t="s">
        <v>2673</v>
      </c>
      <c r="D508" s="165" t="str">
        <f>IFERROR(VLOOKUP(C508,元件库!$B:$O,2,FALSE),"")</f>
        <v>欣利铜材</v>
      </c>
      <c r="E508" s="166" t="str">
        <f t="shared" si="186"/>
        <v>米</v>
      </c>
      <c r="F508" s="166">
        <f>1*(MID(O508,FIND("-",O508)+1,FIND("*",O508)-FIND("-",O508)-1)/1000*IF(B508="水平排",3,1))</f>
        <v>2.4000000000000004</v>
      </c>
      <c r="G508" s="42">
        <f t="shared" si="187"/>
        <v>126.82499999999999</v>
      </c>
      <c r="H508" s="42">
        <f t="shared" si="188"/>
        <v>304.38</v>
      </c>
      <c r="I508" s="167"/>
      <c r="J508" s="168">
        <f t="shared" si="191"/>
        <v>1</v>
      </c>
      <c r="K508" s="169">
        <f t="shared" si="189"/>
        <v>126.82499999999999</v>
      </c>
      <c r="L508" s="170">
        <f>IFERROR(VLOOKUP(C508,元件库!$B:$O,10,FALSE),"1.00")</f>
        <v>1</v>
      </c>
      <c r="M508" s="171">
        <f>IFERROR(VLOOKUP(C508,元件库!$B:$O,11,FALSE),"")</f>
        <v>126.82499999999999</v>
      </c>
      <c r="N508" s="172" t="str">
        <f t="shared" ca="1" si="190"/>
        <v/>
      </c>
      <c r="O508" s="174" t="str">
        <f>O512</f>
        <v>GGD-800*600*2000</v>
      </c>
    </row>
    <row r="509" spans="1:19" s="175" customFormat="1" ht="16.5" customHeight="1" x14ac:dyDescent="0.2">
      <c r="A509" s="38">
        <f>COUNTIF($J$1:J509,"!")</f>
        <v>32</v>
      </c>
      <c r="B509" s="163" t="s">
        <v>2725</v>
      </c>
      <c r="C509" s="164" t="s">
        <v>2326</v>
      </c>
      <c r="D509" s="165" t="str">
        <f>IFERROR(VLOOKUP(C509,元件库!$B:$O,2,FALSE),"")</f>
        <v>欣利铜材</v>
      </c>
      <c r="E509" s="166" t="str">
        <f t="shared" si="186"/>
        <v>米</v>
      </c>
      <c r="F509" s="166">
        <f>1*(MID(O509,FIND("-",O509)+1,FIND("*",O509)-FIND("-",O509)-1)/1000*IF(B509="水平排",3,1))</f>
        <v>0.8</v>
      </c>
      <c r="G509" s="42">
        <f t="shared" si="187"/>
        <v>81.167999999999992</v>
      </c>
      <c r="H509" s="42">
        <f t="shared" si="188"/>
        <v>64.934399999999997</v>
      </c>
      <c r="I509" s="167"/>
      <c r="J509" s="168">
        <f t="shared" si="191"/>
        <v>1</v>
      </c>
      <c r="K509" s="169">
        <f t="shared" si="189"/>
        <v>81.167999999999992</v>
      </c>
      <c r="L509" s="170">
        <f>IFERROR(VLOOKUP(C509,元件库!$B:$O,10,FALSE),"1.00")</f>
        <v>1</v>
      </c>
      <c r="M509" s="171">
        <f>IFERROR(VLOOKUP(C509,元件库!$B:$O,11,FALSE),"")</f>
        <v>81.167999999999992</v>
      </c>
      <c r="N509" s="172" t="str">
        <f t="shared" ca="1" si="190"/>
        <v/>
      </c>
      <c r="O509" s="176" t="str">
        <f>O512</f>
        <v>GGD-800*600*2000</v>
      </c>
    </row>
    <row r="510" spans="1:19" s="175" customFormat="1" ht="16.5" customHeight="1" x14ac:dyDescent="0.2">
      <c r="A510" s="38">
        <f>COUNTIF($J$1:J510,"!")</f>
        <v>32</v>
      </c>
      <c r="B510" s="163" t="s">
        <v>2172</v>
      </c>
      <c r="C510" s="164" t="s">
        <v>2326</v>
      </c>
      <c r="D510" s="165" t="str">
        <f>IFERROR(VLOOKUP(C510,元件库!$B:$O,2,FALSE),"")</f>
        <v>欣利铜材</v>
      </c>
      <c r="E510" s="166" t="str">
        <f t="shared" si="186"/>
        <v>米</v>
      </c>
      <c r="F510" s="166">
        <f>1*(MID(O510,FIND("-",O510)+1,FIND("*",O510)-FIND("-",O510)-1)/1000*IF(B510="水平排",3,1))</f>
        <v>0.8</v>
      </c>
      <c r="G510" s="42">
        <f t="shared" si="187"/>
        <v>81.167999999999992</v>
      </c>
      <c r="H510" s="42">
        <f t="shared" si="188"/>
        <v>64.934399999999997</v>
      </c>
      <c r="I510" s="167"/>
      <c r="J510" s="168">
        <f t="shared" si="191"/>
        <v>1</v>
      </c>
      <c r="K510" s="169">
        <f t="shared" si="189"/>
        <v>81.167999999999992</v>
      </c>
      <c r="L510" s="170">
        <f>IFERROR(VLOOKUP(C510,元件库!$B:$O,10,FALSE),"1.00")</f>
        <v>1</v>
      </c>
      <c r="M510" s="171">
        <f>IFERROR(VLOOKUP(C510,元件库!$B:$O,11,FALSE),"")</f>
        <v>81.167999999999992</v>
      </c>
      <c r="N510" s="172" t="str">
        <f t="shared" ca="1" si="190"/>
        <v/>
      </c>
      <c r="O510" s="176" t="str">
        <f>O512</f>
        <v>GGD-800*600*2000</v>
      </c>
    </row>
    <row r="511" spans="1:19" ht="16.5" customHeight="1" x14ac:dyDescent="0.2">
      <c r="A511" s="38">
        <f>COUNTIF($J$1:J511,"!")</f>
        <v>32</v>
      </c>
      <c r="B511" s="177" t="s">
        <v>107</v>
      </c>
      <c r="C511" s="164"/>
      <c r="D511" s="166"/>
      <c r="E511" s="166"/>
      <c r="F511" s="166"/>
      <c r="G511" s="42"/>
      <c r="H511" s="42"/>
      <c r="I511" s="178">
        <f>SUM(H499:H511)</f>
        <v>7910.7538000000004</v>
      </c>
      <c r="J511" s="168"/>
      <c r="K511" s="169"/>
      <c r="L511" s="170"/>
      <c r="M511" s="171"/>
      <c r="O511" s="174"/>
      <c r="P511" s="162"/>
    </row>
    <row r="512" spans="1:19" ht="16.5" customHeight="1" x14ac:dyDescent="0.2">
      <c r="A512" s="38">
        <f>COUNTIF($J$1:J512,"!")</f>
        <v>32</v>
      </c>
      <c r="B512" s="179" t="s">
        <v>47</v>
      </c>
      <c r="C512" s="164"/>
      <c r="D512" s="166"/>
      <c r="E512" s="166"/>
      <c r="F512" s="166"/>
      <c r="G512" s="42"/>
      <c r="H512" s="42">
        <f>IFERROR(J512*K512,"")</f>
        <v>800</v>
      </c>
      <c r="I512" s="167"/>
      <c r="J512" s="168">
        <f>P$1</f>
        <v>1</v>
      </c>
      <c r="K512" s="169">
        <f>L512*M512</f>
        <v>800</v>
      </c>
      <c r="L512" s="170" t="str">
        <f>IFERROR(VLOOKUP(C512,元件库!$B:$O,10,FALSE),"1.00")</f>
        <v>1.00</v>
      </c>
      <c r="M512" s="171">
        <f>IF(B512="成套费",IF(ISNUMBER(FIND("GGD",O512)),800,IF(OR(ISNUMBER(FIND("GCS",O512)),ISNUMBER(FIND("GCK",O512)),ISNUMBER(FIND("MNS",O512))),1000,"")),IF(B512="辅件费",IF(VLOOKUP(A513,A$1:B512,2,FALSE)="低压电容柜",500,300),""))</f>
        <v>800</v>
      </c>
      <c r="O512" s="180" t="str">
        <f>C499</f>
        <v>GGD-800*600*2000</v>
      </c>
    </row>
    <row r="513" spans="1:23" s="161" customFormat="1" ht="16.5" customHeight="1" x14ac:dyDescent="0.2">
      <c r="A513" s="38">
        <f>COUNTIF($J$1:J513,"!")</f>
        <v>32</v>
      </c>
      <c r="B513" s="179" t="s">
        <v>49</v>
      </c>
      <c r="C513" s="164"/>
      <c r="D513" s="166"/>
      <c r="E513" s="166"/>
      <c r="F513" s="166"/>
      <c r="G513" s="42"/>
      <c r="H513" s="42">
        <f>IFERROR(J513*K513,"")</f>
        <v>300</v>
      </c>
      <c r="I513" s="167"/>
      <c r="J513" s="168">
        <f>P$1</f>
        <v>1</v>
      </c>
      <c r="K513" s="169">
        <f>L513*M513</f>
        <v>300</v>
      </c>
      <c r="L513" s="170" t="str">
        <f>IFERROR(VLOOKUP(C513,元件库!$B:$O,10,FALSE),"1.00")</f>
        <v>1.00</v>
      </c>
      <c r="M513" s="171">
        <f>IF(B513="成套费",IF(ISNUMBER(FIND("GGD",O513)),800,IF(OR(ISNUMBER(FIND("GCS",O513)),ISNUMBER(FIND("GCK",O513)),ISNUMBER(FIND("MNS",O513))),1000,"")),IF(B513="辅件费",IF(VLOOKUP(A513,A$1:B513,2,FALSE)="低压电容柜",500,300),""))</f>
        <v>300</v>
      </c>
      <c r="N513" s="181"/>
      <c r="O513" s="182" t="str">
        <f>O512</f>
        <v>GGD-800*600*2000</v>
      </c>
      <c r="R513" s="162"/>
      <c r="S513" s="162"/>
    </row>
    <row r="514" spans="1:23" s="161" customFormat="1" ht="16.5" customHeight="1" x14ac:dyDescent="0.2">
      <c r="A514" s="38">
        <f>COUNTIF($J$1:J514,"!")</f>
        <v>32</v>
      </c>
      <c r="B514" s="179" t="s">
        <v>79</v>
      </c>
      <c r="C514" s="164"/>
      <c r="D514" s="166"/>
      <c r="E514" s="166"/>
      <c r="F514" s="166"/>
      <c r="G514" s="42"/>
      <c r="H514" s="42">
        <f>K514*L514</f>
        <v>1081.2904559999999</v>
      </c>
      <c r="I514" s="167"/>
      <c r="J514" s="168"/>
      <c r="K514" s="169">
        <f>SUM(H511:H513)+I511</f>
        <v>9010.7538000000004</v>
      </c>
      <c r="L514" s="279">
        <f>R$1</f>
        <v>0.12</v>
      </c>
      <c r="M514" s="171"/>
      <c r="N514" s="181"/>
      <c r="O514" s="162"/>
      <c r="R514" s="162"/>
      <c r="S514" s="162"/>
    </row>
    <row r="515" spans="1:23" s="162" customFormat="1" ht="16.5" customHeight="1" x14ac:dyDescent="0.2">
      <c r="A515" s="38">
        <f>COUNTIF($J$1:J515,"!")</f>
        <v>32</v>
      </c>
      <c r="B515" s="179" t="s">
        <v>108</v>
      </c>
      <c r="C515" s="164"/>
      <c r="D515" s="166"/>
      <c r="E515" s="166"/>
      <c r="F515" s="166"/>
      <c r="G515" s="184"/>
      <c r="H515" s="42">
        <f>K515*L515</f>
        <v>302.76132768000002</v>
      </c>
      <c r="I515" s="167"/>
      <c r="J515" s="168"/>
      <c r="K515" s="169">
        <f>H514+K514</f>
        <v>10092.044256000001</v>
      </c>
      <c r="L515" s="279">
        <f>T$1</f>
        <v>0.03</v>
      </c>
      <c r="M515" s="171"/>
      <c r="N515" s="161"/>
      <c r="P515" s="161"/>
      <c r="T515" s="157"/>
      <c r="U515" s="157"/>
      <c r="V515" s="157"/>
      <c r="W515" s="157"/>
    </row>
    <row r="516" spans="1:23" s="162" customFormat="1" ht="16.5" customHeight="1" x14ac:dyDescent="0.15">
      <c r="A516" s="32">
        <f>COUNTIF($J$1:J516,"!")</f>
        <v>33</v>
      </c>
      <c r="B516" s="33" t="s">
        <v>3046</v>
      </c>
      <c r="C516" s="158" t="s">
        <v>3163</v>
      </c>
      <c r="D516" s="159" t="s">
        <v>3160</v>
      </c>
      <c r="E516" s="34" t="s">
        <v>23</v>
      </c>
      <c r="F516" s="159">
        <v>1</v>
      </c>
      <c r="G516" s="36">
        <f>ROUND(SUM(H517:H533),0)</f>
        <v>9652</v>
      </c>
      <c r="H516" s="160" t="str">
        <f>IF(ISNUMBER(FIND(" ",C517)),MID(C517,1,FIND(" ",C517)-1),IF(ISNUMBER(FIND("电容柜",B516)),"GGJ",MID(C517,1,FIND("-",C517)-1)))</f>
        <v>GGJ</v>
      </c>
      <c r="I516" s="47" t="str">
        <f>MID(C517,IF(LEN(C517)-LEN(H516)&gt;3,LEN(H516)+2,1),30)</f>
        <v>800*600*2000</v>
      </c>
      <c r="J516" s="48" t="s">
        <v>24</v>
      </c>
      <c r="K516" s="49"/>
      <c r="L516" s="50"/>
      <c r="M516" s="51"/>
      <c r="N516" s="161"/>
      <c r="P516" s="161"/>
      <c r="T516" s="157"/>
      <c r="U516" s="157"/>
      <c r="V516" s="157"/>
      <c r="W516" s="157"/>
    </row>
    <row r="517" spans="1:23" s="162" customFormat="1" ht="16.5" customHeight="1" x14ac:dyDescent="0.2">
      <c r="A517" s="38">
        <f>COUNTIF($J$1:J517,"!")</f>
        <v>33</v>
      </c>
      <c r="B517" s="163" t="str">
        <f>IFERROR(VLOOKUP(C517,元件库!$B:$O,3,FALSE),"")</f>
        <v>壳体W*D*H</v>
      </c>
      <c r="C517" s="164" t="s">
        <v>2337</v>
      </c>
      <c r="D517" s="165" t="str">
        <f>IFERROR(VLOOKUP(C517,元件库!$B:$O,2,FALSE),"")</f>
        <v>精益联合集团</v>
      </c>
      <c r="E517" s="166" t="str">
        <f t="shared" ref="E517:E528" si="192">IF(D517="欣利铜材","米",IF(B517="熔断器","套","只"))</f>
        <v>只</v>
      </c>
      <c r="F517" s="166">
        <v>1</v>
      </c>
      <c r="G517" s="42">
        <f t="shared" ref="G517:G528" si="193">IFERROR(J517*K517,"")</f>
        <v>1550</v>
      </c>
      <c r="H517" s="42">
        <f t="shared" ref="H517:H528" si="194">IFERROR(G517*F517,"")</f>
        <v>1550</v>
      </c>
      <c r="I517" s="167"/>
      <c r="J517" s="168">
        <f>P$1</f>
        <v>1</v>
      </c>
      <c r="K517" s="169">
        <f t="shared" ref="K517:K528" si="195">IFERROR(M517*L517,"")</f>
        <v>1550</v>
      </c>
      <c r="L517" s="170">
        <f>IFERROR(VLOOKUP(C517,元件库!$B:$O,10,FALSE),"1.00")</f>
        <v>1</v>
      </c>
      <c r="M517" s="171">
        <f>IFERROR(VLOOKUP(C517,元件库!$B:$O,11,FALSE),"")</f>
        <v>1550</v>
      </c>
      <c r="N517" s="172" t="str">
        <f t="shared" ref="N517:N528" ca="1" si="196">IF(AND(ISNUMBER(FIND("IF",_xlfn.FORMULATEXT(L517))),ISNUMBER(FIND("IF",_xlfn.FORMULATEXT(M517)))),"","值")</f>
        <v/>
      </c>
      <c r="O517" s="157" t="str">
        <f>B516</f>
        <v>低压电容柜</v>
      </c>
      <c r="P517" s="161"/>
      <c r="T517" s="157"/>
      <c r="U517" s="157"/>
      <c r="V517" s="157"/>
      <c r="W517" s="157"/>
    </row>
    <row r="518" spans="1:23" s="173" customFormat="1" ht="16.5" customHeight="1" x14ac:dyDescent="0.2">
      <c r="A518" s="38">
        <f>COUNTIF($J$1:J518,"!")</f>
        <v>33</v>
      </c>
      <c r="B518" s="163" t="str">
        <f>IFERROR(VLOOKUP(C518,元件库!$B:$O,3,FALSE),"")</f>
        <v>刀开关</v>
      </c>
      <c r="C518" s="164" t="s">
        <v>2849</v>
      </c>
      <c r="D518" s="165" t="str">
        <f>IFERROR(VLOOKUP(C518,元件库!$B:$O,2,FALSE),"")</f>
        <v>精益联合集团</v>
      </c>
      <c r="E518" s="166" t="str">
        <f t="shared" si="192"/>
        <v>只</v>
      </c>
      <c r="F518" s="166">
        <v>1</v>
      </c>
      <c r="G518" s="42">
        <f t="shared" si="193"/>
        <v>192.50000000000003</v>
      </c>
      <c r="H518" s="42">
        <f t="shared" si="194"/>
        <v>192.50000000000003</v>
      </c>
      <c r="I518" s="167"/>
      <c r="J518" s="168">
        <f t="shared" ref="J518:J528" si="197">P$1</f>
        <v>1</v>
      </c>
      <c r="K518" s="169">
        <f t="shared" si="195"/>
        <v>192.50000000000003</v>
      </c>
      <c r="L518" s="170">
        <f>IFERROR(VLOOKUP(C518,元件库!$B:$O,10,FALSE),"1.00")</f>
        <v>0.55000000000000004</v>
      </c>
      <c r="M518" s="171">
        <f>IFERROR(VLOOKUP(C518,元件库!$B:$O,11,FALSE),"")</f>
        <v>350</v>
      </c>
      <c r="N518" s="172" t="str">
        <f t="shared" ca="1" si="196"/>
        <v/>
      </c>
      <c r="P518" s="161"/>
    </row>
    <row r="519" spans="1:23" s="173" customFormat="1" ht="16.5" customHeight="1" x14ac:dyDescent="0.2">
      <c r="A519" s="38">
        <f>COUNTIF($J$1:J519,"!")</f>
        <v>33</v>
      </c>
      <c r="B519" s="163" t="str">
        <f>IFERROR(VLOOKUP(C519,元件库!$B:$O,3,FALSE),"")</f>
        <v/>
      </c>
      <c r="C519" s="164" t="s">
        <v>3128</v>
      </c>
      <c r="D519" s="165" t="str">
        <f>IFERROR(VLOOKUP(C519,元件库!$B:$O,2,FALSE),"")</f>
        <v/>
      </c>
      <c r="E519" s="166" t="str">
        <f t="shared" si="192"/>
        <v>只</v>
      </c>
      <c r="F519" s="166">
        <v>3</v>
      </c>
      <c r="G519" s="42" t="str">
        <f t="shared" si="193"/>
        <v/>
      </c>
      <c r="H519" s="42" t="str">
        <f t="shared" si="194"/>
        <v/>
      </c>
      <c r="I519" s="167"/>
      <c r="J519" s="168">
        <f t="shared" si="197"/>
        <v>1</v>
      </c>
      <c r="K519" s="169" t="str">
        <f t="shared" si="195"/>
        <v/>
      </c>
      <c r="L519" s="170" t="str">
        <f>IFERROR(VLOOKUP(C519,元件库!$B:$O,10,FALSE),"1.00")</f>
        <v>1.00</v>
      </c>
      <c r="M519" s="171" t="str">
        <f>IFERROR(VLOOKUP(C519,元件库!$B:$O,11,FALSE),"")</f>
        <v/>
      </c>
      <c r="N519" s="172" t="str">
        <f t="shared" ca="1" si="196"/>
        <v/>
      </c>
      <c r="P519" s="161"/>
    </row>
    <row r="520" spans="1:23" s="173" customFormat="1" ht="16.5" customHeight="1" x14ac:dyDescent="0.2">
      <c r="A520" s="38">
        <f>COUNTIF($J$1:J520,"!")</f>
        <v>33</v>
      </c>
      <c r="B520" s="163" t="str">
        <f>IFERROR(VLOOKUP(C520,元件库!$B:$O,3,FALSE),"")</f>
        <v>电流.电压表</v>
      </c>
      <c r="C520" s="164" t="s">
        <v>1899</v>
      </c>
      <c r="D520" s="165" t="str">
        <f>IFERROR(VLOOKUP(C520,元件库!$B:$O,2,FALSE),"")</f>
        <v>精益联合集团</v>
      </c>
      <c r="E520" s="166" t="str">
        <f t="shared" si="192"/>
        <v>只</v>
      </c>
      <c r="F520" s="166">
        <v>6</v>
      </c>
      <c r="G520" s="42">
        <f t="shared" si="193"/>
        <v>13.750000000000002</v>
      </c>
      <c r="H520" s="42">
        <f t="shared" si="194"/>
        <v>82.500000000000014</v>
      </c>
      <c r="I520" s="167"/>
      <c r="J520" s="168">
        <f t="shared" si="197"/>
        <v>1</v>
      </c>
      <c r="K520" s="169">
        <f t="shared" si="195"/>
        <v>13.750000000000002</v>
      </c>
      <c r="L520" s="170">
        <f>IFERROR(VLOOKUP(C520,元件库!$B:$O,10,FALSE),"1.00")</f>
        <v>0.55000000000000004</v>
      </c>
      <c r="M520" s="171">
        <f>IFERROR(VLOOKUP(C520,元件库!$B:$O,11,FALSE),"")</f>
        <v>25</v>
      </c>
      <c r="N520" s="172" t="str">
        <f t="shared" ca="1" si="196"/>
        <v/>
      </c>
      <c r="P520" s="161"/>
    </row>
    <row r="521" spans="1:23" s="173" customFormat="1" ht="16.5" customHeight="1" x14ac:dyDescent="0.2">
      <c r="A521" s="38">
        <f>COUNTIF($J$1:J521,"!")</f>
        <v>33</v>
      </c>
      <c r="B521" s="163" t="str">
        <f>IFERROR(VLOOKUP(C521,元件库!$B:$O,3,FALSE),"")</f>
        <v>氧化锌避雷器</v>
      </c>
      <c r="C521" s="164" t="s">
        <v>3048</v>
      </c>
      <c r="D521" s="165" t="str">
        <f>IFERROR(VLOOKUP(C521,元件库!$B:$O,2,FALSE),"")</f>
        <v>精益联合集团</v>
      </c>
      <c r="E521" s="166" t="str">
        <f t="shared" si="192"/>
        <v>只</v>
      </c>
      <c r="F521" s="166">
        <v>3</v>
      </c>
      <c r="G521" s="42">
        <f t="shared" si="193"/>
        <v>9.9</v>
      </c>
      <c r="H521" s="42">
        <f t="shared" si="194"/>
        <v>29.700000000000003</v>
      </c>
      <c r="I521" s="167"/>
      <c r="J521" s="168">
        <f t="shared" si="197"/>
        <v>1</v>
      </c>
      <c r="K521" s="169">
        <f t="shared" si="195"/>
        <v>9.9</v>
      </c>
      <c r="L521" s="170">
        <f>IFERROR(VLOOKUP(C521,元件库!$B:$O,10,FALSE),"1.00")</f>
        <v>0.55000000000000004</v>
      </c>
      <c r="M521" s="171">
        <f>IFERROR(VLOOKUP(C521,元件库!$B:$O,11,FALSE),"")</f>
        <v>18</v>
      </c>
      <c r="N521" s="172" t="str">
        <f t="shared" ca="1" si="196"/>
        <v/>
      </c>
      <c r="P521" s="161"/>
    </row>
    <row r="522" spans="1:23" s="173" customFormat="1" ht="16.5" customHeight="1" x14ac:dyDescent="0.2">
      <c r="A522" s="38">
        <f>COUNTIF($J$1:J522,"!")</f>
        <v>33</v>
      </c>
      <c r="B522" s="163" t="str">
        <f>IFERROR(VLOOKUP(C522,元件库!$B:$O,3,FALSE),"")</f>
        <v>智能电容器</v>
      </c>
      <c r="C522" s="164" t="s">
        <v>3141</v>
      </c>
      <c r="D522" s="165" t="str">
        <f>IFERROR(VLOOKUP(C522,元件库!$B:$O,2,FALSE),"")</f>
        <v>九康电气</v>
      </c>
      <c r="E522" s="166" t="str">
        <f t="shared" si="192"/>
        <v>只</v>
      </c>
      <c r="F522" s="166">
        <v>6</v>
      </c>
      <c r="G522" s="42">
        <f t="shared" si="193"/>
        <v>695</v>
      </c>
      <c r="H522" s="42">
        <f t="shared" si="194"/>
        <v>4170</v>
      </c>
      <c r="I522" s="167"/>
      <c r="J522" s="168">
        <f t="shared" si="197"/>
        <v>1</v>
      </c>
      <c r="K522" s="169">
        <f t="shared" si="195"/>
        <v>695</v>
      </c>
      <c r="L522" s="170">
        <f>IFERROR(VLOOKUP(C522,元件库!$B:$O,10,FALSE),"1.00")</f>
        <v>1</v>
      </c>
      <c r="M522" s="171">
        <f>IFERROR(VLOOKUP(C522,元件库!$B:$O,11,FALSE),"")</f>
        <v>695</v>
      </c>
      <c r="N522" s="172" t="str">
        <f t="shared" ca="1" si="196"/>
        <v/>
      </c>
      <c r="P522" s="161"/>
    </row>
    <row r="523" spans="1:23" s="173" customFormat="1" ht="16.5" customHeight="1" x14ac:dyDescent="0.2">
      <c r="A523" s="38">
        <f>COUNTIF($J$1:J523,"!")</f>
        <v>33</v>
      </c>
      <c r="B523" s="163" t="str">
        <f>IFERROR(VLOOKUP(C523,元件库!$B:$O,3,FALSE),"")</f>
        <v>补偿控制器</v>
      </c>
      <c r="C523" s="164" t="s">
        <v>3129</v>
      </c>
      <c r="D523" s="165" t="str">
        <f>IFERROR(VLOOKUP(C523,元件库!$B:$O,2,FALSE),"")</f>
        <v>九康电气</v>
      </c>
      <c r="E523" s="166" t="str">
        <f t="shared" si="192"/>
        <v>只</v>
      </c>
      <c r="F523" s="166">
        <v>1</v>
      </c>
      <c r="G523" s="42">
        <f t="shared" si="193"/>
        <v>320</v>
      </c>
      <c r="H523" s="42">
        <f t="shared" si="194"/>
        <v>320</v>
      </c>
      <c r="I523" s="167"/>
      <c r="J523" s="168">
        <f t="shared" si="197"/>
        <v>1</v>
      </c>
      <c r="K523" s="169">
        <f t="shared" si="195"/>
        <v>320</v>
      </c>
      <c r="L523" s="170">
        <f>IFERROR(VLOOKUP(C523,元件库!$B:$O,10,FALSE),"1.00")</f>
        <v>1</v>
      </c>
      <c r="M523" s="171">
        <f>IFERROR(VLOOKUP(C523,元件库!$B:$O,11,FALSE),"")</f>
        <v>320</v>
      </c>
      <c r="N523" s="172" t="str">
        <f t="shared" ca="1" si="196"/>
        <v/>
      </c>
      <c r="P523" s="161"/>
    </row>
    <row r="524" spans="1:23" s="173" customFormat="1" ht="16.5" customHeight="1" x14ac:dyDescent="0.2">
      <c r="A524" s="38">
        <f>COUNTIF($J$1:J524,"!")</f>
        <v>33</v>
      </c>
      <c r="B524" s="163" t="str">
        <f>IFERROR(VLOOKUP(C524,元件库!$B:$O,3,FALSE),"")</f>
        <v>指示灯</v>
      </c>
      <c r="C524" s="164" t="s">
        <v>3044</v>
      </c>
      <c r="D524" s="165" t="str">
        <f>IFERROR(VLOOKUP(C524,元件库!$B:$O,2,FALSE),"")</f>
        <v>精益联合集团</v>
      </c>
      <c r="E524" s="166" t="str">
        <f t="shared" si="192"/>
        <v>只</v>
      </c>
      <c r="F524" s="166">
        <v>6</v>
      </c>
      <c r="G524" s="42">
        <f t="shared" si="193"/>
        <v>2.3100000000000005</v>
      </c>
      <c r="H524" s="42">
        <f t="shared" si="194"/>
        <v>13.860000000000003</v>
      </c>
      <c r="I524" s="167"/>
      <c r="J524" s="168">
        <f t="shared" si="197"/>
        <v>1</v>
      </c>
      <c r="K524" s="169">
        <f t="shared" si="195"/>
        <v>2.3100000000000005</v>
      </c>
      <c r="L524" s="170">
        <f>IFERROR(VLOOKUP(C524,元件库!$B:$O,10,FALSE),"1.00")</f>
        <v>0.55000000000000004</v>
      </c>
      <c r="M524" s="171">
        <f>IFERROR(VLOOKUP(C524,元件库!$B:$O,11,FALSE),"")</f>
        <v>4.2</v>
      </c>
      <c r="N524" s="172" t="str">
        <f t="shared" ca="1" si="196"/>
        <v/>
      </c>
      <c r="P524" s="161"/>
    </row>
    <row r="525" spans="1:23" s="173" customFormat="1" ht="16.5" customHeight="1" x14ac:dyDescent="0.2">
      <c r="A525" s="38">
        <f>COUNTIF($J$1:J525,"!")</f>
        <v>33</v>
      </c>
      <c r="B525" s="163" t="str">
        <f>IFERROR(VLOOKUP(C525,元件库!$B:$O,3,FALSE),"")</f>
        <v>铜排</v>
      </c>
      <c r="C525" s="164" t="s">
        <v>1910</v>
      </c>
      <c r="D525" s="165" t="str">
        <f>IFERROR(VLOOKUP(C525,元件库!$B:$O,2,FALSE),"")</f>
        <v>欣利铜材</v>
      </c>
      <c r="E525" s="166" t="str">
        <f t="shared" si="192"/>
        <v>米</v>
      </c>
      <c r="F525" s="166">
        <v>6</v>
      </c>
      <c r="G525" s="42">
        <f t="shared" si="193"/>
        <v>45.656999999999996</v>
      </c>
      <c r="H525" s="42">
        <f t="shared" si="194"/>
        <v>273.94200000000001</v>
      </c>
      <c r="I525" s="167"/>
      <c r="J525" s="168">
        <f t="shared" si="197"/>
        <v>1</v>
      </c>
      <c r="K525" s="169">
        <f t="shared" si="195"/>
        <v>45.656999999999996</v>
      </c>
      <c r="L525" s="170">
        <f>IFERROR(VLOOKUP(C525,元件库!$B:$O,10,FALSE),"1.00")</f>
        <v>1</v>
      </c>
      <c r="M525" s="171">
        <f>IFERROR(VLOOKUP(C525,元件库!$B:$O,11,FALSE),"")</f>
        <v>45.656999999999996</v>
      </c>
      <c r="N525" s="172" t="str">
        <f t="shared" ca="1" si="196"/>
        <v/>
      </c>
      <c r="P525" s="161"/>
    </row>
    <row r="526" spans="1:23" s="175" customFormat="1" ht="16.5" customHeight="1" x14ac:dyDescent="0.2">
      <c r="A526" s="38">
        <f>COUNTIF($J$1:J526,"!")</f>
        <v>33</v>
      </c>
      <c r="B526" s="163" t="s">
        <v>2171</v>
      </c>
      <c r="C526" s="164" t="s">
        <v>2673</v>
      </c>
      <c r="D526" s="165" t="str">
        <f>IFERROR(VLOOKUP(C526,元件库!$B:$O,2,FALSE),"")</f>
        <v>欣利铜材</v>
      </c>
      <c r="E526" s="166" t="str">
        <f t="shared" si="192"/>
        <v>米</v>
      </c>
      <c r="F526" s="166">
        <f>1*(MID(O526,FIND("-",O526)+1,FIND("*",O526)-FIND("-",O526)-1)/1000*IF(B526="水平排",3,1))</f>
        <v>2.4000000000000004</v>
      </c>
      <c r="G526" s="42">
        <f t="shared" si="193"/>
        <v>126.82499999999999</v>
      </c>
      <c r="H526" s="42">
        <f t="shared" si="194"/>
        <v>304.38</v>
      </c>
      <c r="I526" s="167"/>
      <c r="J526" s="168">
        <f t="shared" si="197"/>
        <v>1</v>
      </c>
      <c r="K526" s="169">
        <f t="shared" si="195"/>
        <v>126.82499999999999</v>
      </c>
      <c r="L526" s="170">
        <f>IFERROR(VLOOKUP(C526,元件库!$B:$O,10,FALSE),"1.00")</f>
        <v>1</v>
      </c>
      <c r="M526" s="171">
        <f>IFERROR(VLOOKUP(C526,元件库!$B:$O,11,FALSE),"")</f>
        <v>126.82499999999999</v>
      </c>
      <c r="N526" s="172" t="str">
        <f t="shared" ca="1" si="196"/>
        <v/>
      </c>
      <c r="O526" s="174" t="str">
        <f>O530</f>
        <v>GGD-800*600*2000</v>
      </c>
    </row>
    <row r="527" spans="1:23" s="175" customFormat="1" ht="16.5" customHeight="1" x14ac:dyDescent="0.2">
      <c r="A527" s="38">
        <f>COUNTIF($J$1:J527,"!")</f>
        <v>33</v>
      </c>
      <c r="B527" s="163" t="s">
        <v>2725</v>
      </c>
      <c r="C527" s="164" t="s">
        <v>2326</v>
      </c>
      <c r="D527" s="165" t="str">
        <f>IFERROR(VLOOKUP(C527,元件库!$B:$O,2,FALSE),"")</f>
        <v>欣利铜材</v>
      </c>
      <c r="E527" s="166" t="str">
        <f t="shared" si="192"/>
        <v>米</v>
      </c>
      <c r="F527" s="166">
        <f>1*(MID(O527,FIND("-",O527)+1,FIND("*",O527)-FIND("-",O527)-1)/1000*IF(B527="水平排",3,1))</f>
        <v>0.8</v>
      </c>
      <c r="G527" s="42">
        <f t="shared" si="193"/>
        <v>81.167999999999992</v>
      </c>
      <c r="H527" s="42">
        <f t="shared" si="194"/>
        <v>64.934399999999997</v>
      </c>
      <c r="I527" s="167"/>
      <c r="J527" s="168">
        <f t="shared" si="197"/>
        <v>1</v>
      </c>
      <c r="K527" s="169">
        <f t="shared" si="195"/>
        <v>81.167999999999992</v>
      </c>
      <c r="L527" s="170">
        <f>IFERROR(VLOOKUP(C527,元件库!$B:$O,10,FALSE),"1.00")</f>
        <v>1</v>
      </c>
      <c r="M527" s="171">
        <f>IFERROR(VLOOKUP(C527,元件库!$B:$O,11,FALSE),"")</f>
        <v>81.167999999999992</v>
      </c>
      <c r="N527" s="172" t="str">
        <f t="shared" ca="1" si="196"/>
        <v/>
      </c>
      <c r="O527" s="176" t="str">
        <f>O530</f>
        <v>GGD-800*600*2000</v>
      </c>
    </row>
    <row r="528" spans="1:23" s="175" customFormat="1" ht="16.5" customHeight="1" x14ac:dyDescent="0.2">
      <c r="A528" s="38">
        <f>COUNTIF($J$1:J528,"!")</f>
        <v>33</v>
      </c>
      <c r="B528" s="163" t="s">
        <v>2172</v>
      </c>
      <c r="C528" s="164" t="s">
        <v>2326</v>
      </c>
      <c r="D528" s="165" t="str">
        <f>IFERROR(VLOOKUP(C528,元件库!$B:$O,2,FALSE),"")</f>
        <v>欣利铜材</v>
      </c>
      <c r="E528" s="166" t="str">
        <f t="shared" si="192"/>
        <v>米</v>
      </c>
      <c r="F528" s="166">
        <f>1*(MID(O528,FIND("-",O528)+1,FIND("*",O528)-FIND("-",O528)-1)/1000*IF(B528="水平排",3,1))</f>
        <v>0.8</v>
      </c>
      <c r="G528" s="42">
        <f t="shared" si="193"/>
        <v>81.167999999999992</v>
      </c>
      <c r="H528" s="42">
        <f t="shared" si="194"/>
        <v>64.934399999999997</v>
      </c>
      <c r="I528" s="167"/>
      <c r="J528" s="168">
        <f t="shared" si="197"/>
        <v>1</v>
      </c>
      <c r="K528" s="169">
        <f t="shared" si="195"/>
        <v>81.167999999999992</v>
      </c>
      <c r="L528" s="170">
        <f>IFERROR(VLOOKUP(C528,元件库!$B:$O,10,FALSE),"1.00")</f>
        <v>1</v>
      </c>
      <c r="M528" s="171">
        <f>IFERROR(VLOOKUP(C528,元件库!$B:$O,11,FALSE),"")</f>
        <v>81.167999999999992</v>
      </c>
      <c r="N528" s="172" t="str">
        <f t="shared" ca="1" si="196"/>
        <v/>
      </c>
      <c r="O528" s="176" t="str">
        <f>O530</f>
        <v>GGD-800*600*2000</v>
      </c>
    </row>
    <row r="529" spans="1:19" ht="16.5" customHeight="1" x14ac:dyDescent="0.2">
      <c r="A529" s="38">
        <f>COUNTIF($J$1:J529,"!")</f>
        <v>33</v>
      </c>
      <c r="B529" s="177" t="s">
        <v>107</v>
      </c>
      <c r="C529" s="164"/>
      <c r="D529" s="166"/>
      <c r="E529" s="166"/>
      <c r="F529" s="166"/>
      <c r="G529" s="42"/>
      <c r="H529" s="42"/>
      <c r="I529" s="178">
        <f>SUM(H517:H529)</f>
        <v>7066.7507999999998</v>
      </c>
      <c r="J529" s="168"/>
      <c r="K529" s="169"/>
      <c r="L529" s="170"/>
      <c r="M529" s="171"/>
      <c r="O529" s="174"/>
      <c r="P529" s="162"/>
    </row>
    <row r="530" spans="1:19" ht="16.5" customHeight="1" x14ac:dyDescent="0.2">
      <c r="A530" s="38">
        <f>COUNTIF($J$1:J530,"!")</f>
        <v>33</v>
      </c>
      <c r="B530" s="179" t="s">
        <v>47</v>
      </c>
      <c r="C530" s="164"/>
      <c r="D530" s="166"/>
      <c r="E530" s="166"/>
      <c r="F530" s="166"/>
      <c r="G530" s="42"/>
      <c r="H530" s="42">
        <f>IFERROR(J530*K530,"")</f>
        <v>800</v>
      </c>
      <c r="I530" s="167"/>
      <c r="J530" s="168">
        <f>P$1</f>
        <v>1</v>
      </c>
      <c r="K530" s="169">
        <f>L530*M530</f>
        <v>800</v>
      </c>
      <c r="L530" s="170" t="str">
        <f>IFERROR(VLOOKUP(C530,元件库!$B:$O,10,FALSE),"1.00")</f>
        <v>1.00</v>
      </c>
      <c r="M530" s="171">
        <f>IF(B530="成套费",IF(ISNUMBER(FIND("GGD",O530)),800,IF(OR(ISNUMBER(FIND("GCS",O530)),ISNUMBER(FIND("GCK",O530)),ISNUMBER(FIND("MNS",O530))),1000,"")),IF(B530="辅件费",IF(VLOOKUP(A531,A$1:B530,2,FALSE)="低压电容柜",500,300),""))</f>
        <v>800</v>
      </c>
      <c r="O530" s="180" t="str">
        <f>C517</f>
        <v>GGD-800*600*2000</v>
      </c>
    </row>
    <row r="531" spans="1:19" s="161" customFormat="1" ht="16.5" customHeight="1" x14ac:dyDescent="0.2">
      <c r="A531" s="38">
        <f>COUNTIF($J$1:J531,"!")</f>
        <v>33</v>
      </c>
      <c r="B531" s="179" t="s">
        <v>49</v>
      </c>
      <c r="C531" s="164"/>
      <c r="D531" s="166"/>
      <c r="E531" s="166"/>
      <c r="F531" s="166"/>
      <c r="G531" s="42"/>
      <c r="H531" s="42">
        <f>IFERROR(J531*K531,"")</f>
        <v>500</v>
      </c>
      <c r="I531" s="167"/>
      <c r="J531" s="168">
        <f>P$1</f>
        <v>1</v>
      </c>
      <c r="K531" s="169">
        <f>L531*M531</f>
        <v>500</v>
      </c>
      <c r="L531" s="170" t="str">
        <f>IFERROR(VLOOKUP(C531,元件库!$B:$O,10,FALSE),"1.00")</f>
        <v>1.00</v>
      </c>
      <c r="M531" s="171">
        <f>IF(B531="成套费",IF(ISNUMBER(FIND("GGD",O531)),800,IF(OR(ISNUMBER(FIND("GCS",O531)),ISNUMBER(FIND("GCK",O531)),ISNUMBER(FIND("MNS",O531))),1000,"")),IF(B531="辅件费",IF(VLOOKUP(A531,A$1:B531,2,FALSE)="低压电容柜",500,300),""))</f>
        <v>500</v>
      </c>
      <c r="N531" s="181"/>
      <c r="O531" s="182" t="str">
        <f>O530</f>
        <v>GGD-800*600*2000</v>
      </c>
      <c r="R531" s="162"/>
      <c r="S531" s="162"/>
    </row>
    <row r="532" spans="1:19" s="161" customFormat="1" ht="16.5" customHeight="1" x14ac:dyDescent="0.2">
      <c r="A532" s="38">
        <f>COUNTIF($J$1:J532,"!")</f>
        <v>33</v>
      </c>
      <c r="B532" s="179" t="s">
        <v>79</v>
      </c>
      <c r="C532" s="164"/>
      <c r="D532" s="166"/>
      <c r="E532" s="166"/>
      <c r="F532" s="166"/>
      <c r="G532" s="42"/>
      <c r="H532" s="42">
        <f>K532*L532</f>
        <v>1004.010096</v>
      </c>
      <c r="I532" s="167"/>
      <c r="J532" s="168"/>
      <c r="K532" s="169">
        <f>SUM(H529:H531)+I529</f>
        <v>8366.7507999999998</v>
      </c>
      <c r="L532" s="279">
        <f>R$1</f>
        <v>0.12</v>
      </c>
      <c r="M532" s="171"/>
      <c r="N532" s="181"/>
      <c r="O532" s="162"/>
      <c r="R532" s="162"/>
      <c r="S532" s="162"/>
    </row>
    <row r="533" spans="1:19" ht="16.5" customHeight="1" x14ac:dyDescent="0.2">
      <c r="A533" s="38">
        <f>COUNTIF($J$1:J533,"!")</f>
        <v>33</v>
      </c>
      <c r="B533" s="179" t="s">
        <v>108</v>
      </c>
      <c r="C533" s="164"/>
      <c r="D533" s="166"/>
      <c r="E533" s="166"/>
      <c r="F533" s="166"/>
      <c r="G533" s="184"/>
      <c r="H533" s="42">
        <f>K533*L533</f>
        <v>281.12282687999999</v>
      </c>
      <c r="I533" s="167"/>
      <c r="J533" s="168"/>
      <c r="K533" s="169">
        <f>H532+K532</f>
        <v>9370.7608959999998</v>
      </c>
      <c r="L533" s="279">
        <f>T$1</f>
        <v>0.03</v>
      </c>
      <c r="M533" s="171"/>
      <c r="O533" s="162"/>
    </row>
    <row r="534" spans="1:19" ht="16.5" customHeight="1" x14ac:dyDescent="0.15">
      <c r="A534" s="32">
        <f>COUNTIF($J$1:J534,"!")</f>
        <v>34</v>
      </c>
      <c r="B534" s="33" t="s">
        <v>2726</v>
      </c>
      <c r="C534" s="158" t="s">
        <v>3164</v>
      </c>
      <c r="D534" s="159" t="s">
        <v>3160</v>
      </c>
      <c r="E534" s="34" t="s">
        <v>23</v>
      </c>
      <c r="F534" s="159">
        <v>1</v>
      </c>
      <c r="G534" s="36">
        <f>ROUND(SUM(H535:H552),0)</f>
        <v>7671</v>
      </c>
      <c r="H534" s="160" t="str">
        <f>IF(ISNUMBER(FIND(" ",C535)),MID(C535,1,FIND(" ",C535)-1),IF(ISNUMBER(FIND("电容柜",B534)),"GGJ",MID(C535,1,FIND("-",C535)-1)))</f>
        <v>GGD</v>
      </c>
      <c r="I534" s="47" t="str">
        <f>MID(C535,IF(LEN(C535)-LEN(H534)&gt;3,LEN(H534)+2,1),30)</f>
        <v>1200*600*2000</v>
      </c>
      <c r="J534" s="48" t="s">
        <v>24</v>
      </c>
      <c r="K534" s="49"/>
      <c r="L534" s="50"/>
      <c r="M534" s="51"/>
      <c r="O534" s="162"/>
    </row>
    <row r="535" spans="1:19" ht="16.5" customHeight="1" x14ac:dyDescent="0.2">
      <c r="A535" s="38">
        <f>COUNTIF($J$1:J535,"!")</f>
        <v>34</v>
      </c>
      <c r="B535" s="163" t="str">
        <f>IFERROR(VLOOKUP(C535,元件库!$B:$O,3,FALSE),"")</f>
        <v>壳体W*D*H</v>
      </c>
      <c r="C535" s="164" t="s">
        <v>2888</v>
      </c>
      <c r="D535" s="165" t="str">
        <f>IFERROR(VLOOKUP(C535,元件库!$B:$O,2,FALSE),"")</f>
        <v>精益联合集团</v>
      </c>
      <c r="E535" s="166" t="str">
        <f t="shared" ref="E535:E547" si="198">IF(D535="欣利铜材","米",IF(B535="熔断器","套","只"))</f>
        <v>只</v>
      </c>
      <c r="F535" s="166">
        <v>1</v>
      </c>
      <c r="G535" s="42">
        <f t="shared" ref="G535:G547" si="199">IFERROR(J535*K535,"")</f>
        <v>1850</v>
      </c>
      <c r="H535" s="42">
        <f t="shared" ref="H535:H547" si="200">IFERROR(G535*F535,"")</f>
        <v>1850</v>
      </c>
      <c r="I535" s="167"/>
      <c r="J535" s="168">
        <f>P$1</f>
        <v>1</v>
      </c>
      <c r="K535" s="169">
        <f t="shared" ref="K535:K547" si="201">IFERROR(M535*L535,"")</f>
        <v>1850</v>
      </c>
      <c r="L535" s="170">
        <f>IFERROR(VLOOKUP(C535,元件库!$B:$O,10,FALSE),"1.00")</f>
        <v>1</v>
      </c>
      <c r="M535" s="171">
        <f>IFERROR(VLOOKUP(C535,元件库!$B:$O,11,FALSE),"")</f>
        <v>1850</v>
      </c>
      <c r="N535" s="172" t="str">
        <f t="shared" ref="N535:N547" ca="1" si="202">IF(AND(ISNUMBER(FIND("IF",_xlfn.FORMULATEXT(L535))),ISNUMBER(FIND("IF",_xlfn.FORMULATEXT(M535)))),"","值")</f>
        <v/>
      </c>
      <c r="O535" s="157" t="str">
        <f>B534</f>
        <v>低压馈线柜</v>
      </c>
    </row>
    <row r="536" spans="1:19" s="173" customFormat="1" ht="16.5" customHeight="1" x14ac:dyDescent="0.2">
      <c r="A536" s="38">
        <f>COUNTIF($J$1:J536,"!")</f>
        <v>34</v>
      </c>
      <c r="B536" s="163" t="str">
        <f>IFERROR(VLOOKUP(C536,元件库!$B:$O,3,FALSE),"")</f>
        <v>刀开关</v>
      </c>
      <c r="C536" s="164" t="s">
        <v>3047</v>
      </c>
      <c r="D536" s="165" t="str">
        <f>IFERROR(VLOOKUP(C536,元件库!$B:$O,2,FALSE),"")</f>
        <v>精益联合集团</v>
      </c>
      <c r="E536" s="166" t="str">
        <f t="shared" si="198"/>
        <v>只</v>
      </c>
      <c r="F536" s="166">
        <v>1</v>
      </c>
      <c r="G536" s="42">
        <f t="shared" si="199"/>
        <v>324.5</v>
      </c>
      <c r="H536" s="42">
        <f t="shared" si="200"/>
        <v>324.5</v>
      </c>
      <c r="I536" s="167"/>
      <c r="J536" s="168">
        <f t="shared" ref="J536:J547" si="203">P$1</f>
        <v>1</v>
      </c>
      <c r="K536" s="169">
        <f t="shared" si="201"/>
        <v>324.5</v>
      </c>
      <c r="L536" s="170">
        <f>IFERROR(VLOOKUP(C536,元件库!$B:$O,10,FALSE),"1.00")</f>
        <v>0.55000000000000004</v>
      </c>
      <c r="M536" s="171">
        <f>IFERROR(VLOOKUP(C536,元件库!$B:$O,11,FALSE),"")</f>
        <v>590</v>
      </c>
      <c r="N536" s="172" t="str">
        <f t="shared" ca="1" si="202"/>
        <v/>
      </c>
      <c r="P536" s="161"/>
    </row>
    <row r="537" spans="1:19" s="173" customFormat="1" ht="16.5" customHeight="1" x14ac:dyDescent="0.2">
      <c r="A537" s="38">
        <f>COUNTIF($J$1:J537,"!")</f>
        <v>34</v>
      </c>
      <c r="B537" s="163" t="str">
        <f>IFERROR(VLOOKUP(C537,元件库!$B:$O,3,FALSE),"")</f>
        <v>塑壳断路器</v>
      </c>
      <c r="C537" s="164" t="s">
        <v>3131</v>
      </c>
      <c r="D537" s="165" t="str">
        <f>IFERROR(VLOOKUP(C537,元件库!$B:$O,2,FALSE),"")</f>
        <v>吉坤电气</v>
      </c>
      <c r="E537" s="166" t="str">
        <f t="shared" si="198"/>
        <v>只</v>
      </c>
      <c r="F537" s="166">
        <v>4</v>
      </c>
      <c r="G537" s="42">
        <f t="shared" si="199"/>
        <v>329</v>
      </c>
      <c r="H537" s="42">
        <f t="shared" si="200"/>
        <v>1316</v>
      </c>
      <c r="I537" s="167"/>
      <c r="J537" s="168">
        <f t="shared" si="203"/>
        <v>1</v>
      </c>
      <c r="K537" s="169">
        <f t="shared" si="201"/>
        <v>329</v>
      </c>
      <c r="L537" s="170">
        <f>IFERROR(VLOOKUP(C537,元件库!$B:$O,10,FALSE),"1.00")</f>
        <v>1</v>
      </c>
      <c r="M537" s="171">
        <f>IFERROR(VLOOKUP(C537,元件库!$B:$O,11,FALSE),"")</f>
        <v>329</v>
      </c>
      <c r="N537" s="172" t="str">
        <f t="shared" ca="1" si="202"/>
        <v/>
      </c>
      <c r="P537" s="161"/>
    </row>
    <row r="538" spans="1:19" s="173" customFormat="1" ht="16.5" customHeight="1" x14ac:dyDescent="0.2">
      <c r="A538" s="38">
        <f>COUNTIF($J$1:J538,"!")</f>
        <v>34</v>
      </c>
      <c r="B538" s="163" t="str">
        <f>IFERROR(VLOOKUP(C538,元件库!$B:$O,3,FALSE),"")</f>
        <v>塑壳断路器</v>
      </c>
      <c r="C538" s="164" t="s">
        <v>3132</v>
      </c>
      <c r="D538" s="165" t="str">
        <f>IFERROR(VLOOKUP(C538,元件库!$B:$O,2,FALSE),"")</f>
        <v>吉坤电气</v>
      </c>
      <c r="E538" s="166" t="str">
        <f t="shared" si="198"/>
        <v>只</v>
      </c>
      <c r="F538" s="166">
        <v>2</v>
      </c>
      <c r="G538" s="42">
        <f t="shared" si="199"/>
        <v>86</v>
      </c>
      <c r="H538" s="42">
        <f t="shared" si="200"/>
        <v>172</v>
      </c>
      <c r="I538" s="167"/>
      <c r="J538" s="168">
        <f t="shared" si="203"/>
        <v>1</v>
      </c>
      <c r="K538" s="169">
        <f t="shared" si="201"/>
        <v>86</v>
      </c>
      <c r="L538" s="170">
        <f>IFERROR(VLOOKUP(C538,元件库!$B:$O,10,FALSE),"1.00")</f>
        <v>1</v>
      </c>
      <c r="M538" s="171">
        <f>IFERROR(VLOOKUP(C538,元件库!$B:$O,11,FALSE),"")</f>
        <v>86</v>
      </c>
      <c r="N538" s="172" t="str">
        <f t="shared" ca="1" si="202"/>
        <v/>
      </c>
      <c r="P538" s="161"/>
    </row>
    <row r="539" spans="1:19" s="173" customFormat="1" ht="16.5" customHeight="1" x14ac:dyDescent="0.2">
      <c r="A539" s="38">
        <f>COUNTIF($J$1:J539,"!")</f>
        <v>34</v>
      </c>
      <c r="B539" s="163" t="str">
        <f>IFERROR(VLOOKUP(C539,元件库!$B:$O,3,FALSE),"")</f>
        <v/>
      </c>
      <c r="C539" s="164" t="s">
        <v>2143</v>
      </c>
      <c r="D539" s="165" t="str">
        <f>IFERROR(VLOOKUP(C539,元件库!$B:$O,2,FALSE),"")</f>
        <v/>
      </c>
      <c r="E539" s="166" t="str">
        <f t="shared" si="198"/>
        <v>只</v>
      </c>
      <c r="F539" s="166">
        <v>3</v>
      </c>
      <c r="G539" s="42" t="str">
        <f t="shared" si="199"/>
        <v/>
      </c>
      <c r="H539" s="42" t="str">
        <f t="shared" si="200"/>
        <v/>
      </c>
      <c r="I539" s="167"/>
      <c r="J539" s="168">
        <f t="shared" si="203"/>
        <v>1</v>
      </c>
      <c r="K539" s="169" t="str">
        <f t="shared" si="201"/>
        <v/>
      </c>
      <c r="L539" s="170" t="str">
        <f>IFERROR(VLOOKUP(C539,元件库!$B:$O,10,FALSE),"1.00")</f>
        <v>1.00</v>
      </c>
      <c r="M539" s="171" t="str">
        <f>IFERROR(VLOOKUP(C539,元件库!$B:$O,11,FALSE),"")</f>
        <v/>
      </c>
      <c r="N539" s="172" t="str">
        <f t="shared" ca="1" si="202"/>
        <v/>
      </c>
      <c r="P539" s="161"/>
    </row>
    <row r="540" spans="1:19" s="173" customFormat="1" ht="16.5" customHeight="1" x14ac:dyDescent="0.2">
      <c r="A540" s="38">
        <f>COUNTIF($J$1:J540,"!")</f>
        <v>34</v>
      </c>
      <c r="B540" s="163" t="str">
        <f>IFERROR(VLOOKUP(C540,元件库!$B:$O,3,FALSE),"")</f>
        <v>电流.电压表</v>
      </c>
      <c r="C540" s="164" t="s">
        <v>1899</v>
      </c>
      <c r="D540" s="165" t="str">
        <f>IFERROR(VLOOKUP(C540,元件库!$B:$O,2,FALSE),"")</f>
        <v>精益联合集团</v>
      </c>
      <c r="E540" s="166" t="str">
        <f t="shared" si="198"/>
        <v>只</v>
      </c>
      <c r="F540" s="166">
        <v>3</v>
      </c>
      <c r="G540" s="42">
        <f t="shared" si="199"/>
        <v>13.750000000000002</v>
      </c>
      <c r="H540" s="42">
        <f t="shared" si="200"/>
        <v>41.250000000000007</v>
      </c>
      <c r="I540" s="167"/>
      <c r="J540" s="168">
        <f t="shared" si="203"/>
        <v>1</v>
      </c>
      <c r="K540" s="169">
        <f t="shared" si="201"/>
        <v>13.750000000000002</v>
      </c>
      <c r="L540" s="170">
        <f>IFERROR(VLOOKUP(C540,元件库!$B:$O,10,FALSE),"1.00")</f>
        <v>0.55000000000000004</v>
      </c>
      <c r="M540" s="171">
        <f>IFERROR(VLOOKUP(C540,元件库!$B:$O,11,FALSE),"")</f>
        <v>25</v>
      </c>
      <c r="N540" s="172" t="str">
        <f t="shared" ca="1" si="202"/>
        <v/>
      </c>
      <c r="P540" s="161"/>
    </row>
    <row r="541" spans="1:19" s="173" customFormat="1" ht="16.5" customHeight="1" x14ac:dyDescent="0.2">
      <c r="A541" s="38">
        <f>COUNTIF($J$1:J541,"!")</f>
        <v>34</v>
      </c>
      <c r="B541" s="163" t="str">
        <f>IFERROR(VLOOKUP(C541,元件库!$B:$O,3,FALSE),"")</f>
        <v>指示灯</v>
      </c>
      <c r="C541" s="164" t="s">
        <v>3044</v>
      </c>
      <c r="D541" s="165" t="str">
        <f>IFERROR(VLOOKUP(C541,元件库!$B:$O,2,FALSE),"")</f>
        <v>精益联合集团</v>
      </c>
      <c r="E541" s="166" t="str">
        <f t="shared" si="198"/>
        <v>只</v>
      </c>
      <c r="F541" s="166">
        <v>6</v>
      </c>
      <c r="G541" s="42">
        <f t="shared" si="199"/>
        <v>2.3100000000000005</v>
      </c>
      <c r="H541" s="42">
        <f t="shared" si="200"/>
        <v>13.860000000000003</v>
      </c>
      <c r="I541" s="167"/>
      <c r="J541" s="168">
        <f t="shared" si="203"/>
        <v>1</v>
      </c>
      <c r="K541" s="169">
        <f t="shared" si="201"/>
        <v>2.3100000000000005</v>
      </c>
      <c r="L541" s="170">
        <f>IFERROR(VLOOKUP(C541,元件库!$B:$O,10,FALSE),"1.00")</f>
        <v>0.55000000000000004</v>
      </c>
      <c r="M541" s="171">
        <f>IFERROR(VLOOKUP(C541,元件库!$B:$O,11,FALSE),"")</f>
        <v>4.2</v>
      </c>
      <c r="N541" s="172" t="str">
        <f t="shared" ca="1" si="202"/>
        <v/>
      </c>
      <c r="P541" s="161"/>
    </row>
    <row r="542" spans="1:19" s="173" customFormat="1" ht="16.5" customHeight="1" x14ac:dyDescent="0.2">
      <c r="A542" s="38">
        <f>COUNTIF($J$1:J542,"!")</f>
        <v>34</v>
      </c>
      <c r="B542" s="163" t="str">
        <f>IFERROR(VLOOKUP(C542,元件库!$B:$O,3,FALSE),"")</f>
        <v>铜排</v>
      </c>
      <c r="C542" s="164" t="s">
        <v>2673</v>
      </c>
      <c r="D542" s="165" t="str">
        <f>IFERROR(VLOOKUP(C542,元件库!$B:$O,2,FALSE),"")</f>
        <v>欣利铜材</v>
      </c>
      <c r="E542" s="166" t="str">
        <f t="shared" si="198"/>
        <v>米</v>
      </c>
      <c r="F542" s="166">
        <v>6</v>
      </c>
      <c r="G542" s="42">
        <f t="shared" si="199"/>
        <v>126.82499999999999</v>
      </c>
      <c r="H542" s="42">
        <f t="shared" si="200"/>
        <v>760.94999999999993</v>
      </c>
      <c r="I542" s="167"/>
      <c r="J542" s="168">
        <f t="shared" si="203"/>
        <v>1</v>
      </c>
      <c r="K542" s="169">
        <f t="shared" si="201"/>
        <v>126.82499999999999</v>
      </c>
      <c r="L542" s="170">
        <f>IFERROR(VLOOKUP(C542,元件库!$B:$O,10,FALSE),"1.00")</f>
        <v>1</v>
      </c>
      <c r="M542" s="171">
        <f>IFERROR(VLOOKUP(C542,元件库!$B:$O,11,FALSE),"")</f>
        <v>126.82499999999999</v>
      </c>
      <c r="N542" s="172" t="str">
        <f t="shared" ca="1" si="202"/>
        <v/>
      </c>
      <c r="P542" s="161"/>
    </row>
    <row r="543" spans="1:19" s="173" customFormat="1" ht="16.5" customHeight="1" x14ac:dyDescent="0.2">
      <c r="A543" s="38">
        <f>COUNTIF($J$1:J543,"!")</f>
        <v>34</v>
      </c>
      <c r="B543" s="163" t="str">
        <f>IFERROR(VLOOKUP(C543,元件库!$B:$O,3,FALSE),"")</f>
        <v>铜排</v>
      </c>
      <c r="C543" s="164" t="s">
        <v>1887</v>
      </c>
      <c r="D543" s="165" t="str">
        <f>IFERROR(VLOOKUP(C543,元件库!$B:$O,2,FALSE),"")</f>
        <v>欣利铜材</v>
      </c>
      <c r="E543" s="166" t="str">
        <f t="shared" si="198"/>
        <v>米</v>
      </c>
      <c r="F543" s="166">
        <v>4.8</v>
      </c>
      <c r="G543" s="42">
        <f t="shared" si="199"/>
        <v>76.094999999999999</v>
      </c>
      <c r="H543" s="42">
        <f t="shared" si="200"/>
        <v>365.25599999999997</v>
      </c>
      <c r="I543" s="167"/>
      <c r="J543" s="168">
        <f t="shared" si="203"/>
        <v>1</v>
      </c>
      <c r="K543" s="169">
        <f t="shared" si="201"/>
        <v>76.094999999999999</v>
      </c>
      <c r="L543" s="170">
        <f>IFERROR(VLOOKUP(C543,元件库!$B:$O,10,FALSE),"1.00")</f>
        <v>1</v>
      </c>
      <c r="M543" s="171">
        <f>IFERROR(VLOOKUP(C543,元件库!$B:$O,11,FALSE),"")</f>
        <v>76.094999999999999</v>
      </c>
      <c r="N543" s="172" t="str">
        <f t="shared" ca="1" si="202"/>
        <v/>
      </c>
      <c r="P543" s="161"/>
    </row>
    <row r="544" spans="1:19" s="173" customFormat="1" ht="16.5" customHeight="1" x14ac:dyDescent="0.2">
      <c r="A544" s="38">
        <f>COUNTIF($J$1:J544,"!")</f>
        <v>34</v>
      </c>
      <c r="B544" s="163" t="str">
        <f>IFERROR(VLOOKUP(C544,元件库!$B:$O,3,FALSE),"")</f>
        <v>铜排</v>
      </c>
      <c r="C544" s="164" t="s">
        <v>3049</v>
      </c>
      <c r="D544" s="165" t="str">
        <f>IFERROR(VLOOKUP(C544,元件库!$B:$O,2,FALSE),"")</f>
        <v>欣利铜材</v>
      </c>
      <c r="E544" s="166" t="str">
        <f t="shared" si="198"/>
        <v>米</v>
      </c>
      <c r="F544" s="166">
        <v>2.4</v>
      </c>
      <c r="G544" s="42">
        <f t="shared" si="199"/>
        <v>22.828499999999998</v>
      </c>
      <c r="H544" s="42">
        <f t="shared" si="200"/>
        <v>54.788399999999996</v>
      </c>
      <c r="I544" s="167"/>
      <c r="J544" s="168">
        <f t="shared" si="203"/>
        <v>1</v>
      </c>
      <c r="K544" s="169">
        <f t="shared" si="201"/>
        <v>22.828499999999998</v>
      </c>
      <c r="L544" s="170">
        <f>IFERROR(VLOOKUP(C544,元件库!$B:$O,10,FALSE),"1.00")</f>
        <v>1</v>
      </c>
      <c r="M544" s="171">
        <f>IFERROR(VLOOKUP(C544,元件库!$B:$O,11,FALSE),"")</f>
        <v>22.828499999999998</v>
      </c>
      <c r="N544" s="172" t="str">
        <f t="shared" ca="1" si="202"/>
        <v/>
      </c>
      <c r="P544" s="161"/>
    </row>
    <row r="545" spans="1:22" s="175" customFormat="1" ht="16.5" customHeight="1" x14ac:dyDescent="0.2">
      <c r="A545" s="38">
        <f>COUNTIF($J$1:J545,"!")</f>
        <v>34</v>
      </c>
      <c r="B545" s="163" t="s">
        <v>2171</v>
      </c>
      <c r="C545" s="164" t="s">
        <v>2673</v>
      </c>
      <c r="D545" s="165" t="str">
        <f>IFERROR(VLOOKUP(C545,元件库!$B:$O,2,FALSE),"")</f>
        <v>欣利铜材</v>
      </c>
      <c r="E545" s="166" t="str">
        <f t="shared" si="198"/>
        <v>米</v>
      </c>
      <c r="F545" s="166">
        <f>1*(MID(O545,FIND("-",O545)+1,FIND("*",O545)-FIND("-",O545)-1)/1000*IF(B545="水平排",3,1)+IF(AND(B545="零母排",VLOOKUP(A545,A$1:B542,2,FALSE)="低压进线柜"),1.5,0))</f>
        <v>3.5999999999999996</v>
      </c>
      <c r="G545" s="42">
        <f t="shared" si="199"/>
        <v>126.82499999999999</v>
      </c>
      <c r="H545" s="42">
        <f t="shared" si="200"/>
        <v>456.56999999999994</v>
      </c>
      <c r="I545" s="167"/>
      <c r="J545" s="168">
        <f t="shared" si="203"/>
        <v>1</v>
      </c>
      <c r="K545" s="169">
        <f t="shared" si="201"/>
        <v>126.82499999999999</v>
      </c>
      <c r="L545" s="170">
        <f>IFERROR(VLOOKUP(C545,元件库!$B:$O,10,FALSE),"1.00")</f>
        <v>1</v>
      </c>
      <c r="M545" s="171">
        <f>IFERROR(VLOOKUP(C545,元件库!$B:$O,11,FALSE),"")</f>
        <v>126.82499999999999</v>
      </c>
      <c r="N545" s="172" t="str">
        <f t="shared" ca="1" si="202"/>
        <v/>
      </c>
      <c r="O545" s="174" t="str">
        <f>O549</f>
        <v>GGD-1200*600*2000</v>
      </c>
    </row>
    <row r="546" spans="1:22" s="175" customFormat="1" ht="16.5" customHeight="1" x14ac:dyDescent="0.2">
      <c r="A546" s="38">
        <f>COUNTIF($J$1:J546,"!")</f>
        <v>34</v>
      </c>
      <c r="B546" s="163" t="s">
        <v>2725</v>
      </c>
      <c r="C546" s="164" t="s">
        <v>2326</v>
      </c>
      <c r="D546" s="165" t="str">
        <f>IFERROR(VLOOKUP(C546,元件库!$B:$O,2,FALSE),"")</f>
        <v>欣利铜材</v>
      </c>
      <c r="E546" s="166" t="str">
        <f t="shared" si="198"/>
        <v>米</v>
      </c>
      <c r="F546" s="166">
        <f>1*(MID(O546,FIND("-",O546)+1,FIND("*",O546)-FIND("-",O546)-1)/1000*IF(B546="水平排",3,1)+IF(AND(B546="零母排",VLOOKUP(A546,A$1:B543,2,FALSE)="低压进线柜"),1.5,0))</f>
        <v>1.2</v>
      </c>
      <c r="G546" s="42">
        <f t="shared" si="199"/>
        <v>81.167999999999992</v>
      </c>
      <c r="H546" s="42">
        <f t="shared" si="200"/>
        <v>97.401599999999988</v>
      </c>
      <c r="I546" s="167"/>
      <c r="J546" s="168">
        <f t="shared" si="203"/>
        <v>1</v>
      </c>
      <c r="K546" s="169">
        <f t="shared" si="201"/>
        <v>81.167999999999992</v>
      </c>
      <c r="L546" s="170">
        <f>IFERROR(VLOOKUP(C546,元件库!$B:$O,10,FALSE),"1.00")</f>
        <v>1</v>
      </c>
      <c r="M546" s="171">
        <f>IFERROR(VLOOKUP(C546,元件库!$B:$O,11,FALSE),"")</f>
        <v>81.167999999999992</v>
      </c>
      <c r="N546" s="172" t="str">
        <f t="shared" ca="1" si="202"/>
        <v/>
      </c>
      <c r="O546" s="176" t="str">
        <f>O549</f>
        <v>GGD-1200*600*2000</v>
      </c>
    </row>
    <row r="547" spans="1:22" s="175" customFormat="1" ht="16.5" customHeight="1" x14ac:dyDescent="0.2">
      <c r="A547" s="38">
        <f>COUNTIF($J$1:J547,"!")</f>
        <v>34</v>
      </c>
      <c r="B547" s="163" t="s">
        <v>2172</v>
      </c>
      <c r="C547" s="164" t="s">
        <v>2326</v>
      </c>
      <c r="D547" s="165" t="str">
        <f>IFERROR(VLOOKUP(C547,元件库!$B:$O,2,FALSE),"")</f>
        <v>欣利铜材</v>
      </c>
      <c r="E547" s="166" t="str">
        <f t="shared" si="198"/>
        <v>米</v>
      </c>
      <c r="F547" s="166">
        <f>1*(MID(O547,FIND("-",O547)+1,FIND("*",O547)-FIND("-",O547)-1)/1000*IF(B547="水平排",3,1))</f>
        <v>1.2</v>
      </c>
      <c r="G547" s="42">
        <f t="shared" si="199"/>
        <v>81.167999999999992</v>
      </c>
      <c r="H547" s="42">
        <f t="shared" si="200"/>
        <v>97.401599999999988</v>
      </c>
      <c r="I547" s="167"/>
      <c r="J547" s="168">
        <f t="shared" si="203"/>
        <v>1</v>
      </c>
      <c r="K547" s="169">
        <f t="shared" si="201"/>
        <v>81.167999999999992</v>
      </c>
      <c r="L547" s="170">
        <f>IFERROR(VLOOKUP(C547,元件库!$B:$O,10,FALSE),"1.00")</f>
        <v>1</v>
      </c>
      <c r="M547" s="171">
        <f>IFERROR(VLOOKUP(C547,元件库!$B:$O,11,FALSE),"")</f>
        <v>81.167999999999992</v>
      </c>
      <c r="N547" s="172" t="str">
        <f t="shared" ca="1" si="202"/>
        <v/>
      </c>
      <c r="O547" s="176" t="str">
        <f>O549</f>
        <v>GGD-1200*600*2000</v>
      </c>
    </row>
    <row r="548" spans="1:22" ht="16.5" customHeight="1" x14ac:dyDescent="0.2">
      <c r="A548" s="38">
        <f>COUNTIF($J$1:J548,"!")</f>
        <v>34</v>
      </c>
      <c r="B548" s="177" t="s">
        <v>107</v>
      </c>
      <c r="C548" s="164"/>
      <c r="D548" s="166"/>
      <c r="E548" s="166"/>
      <c r="F548" s="166"/>
      <c r="G548" s="42"/>
      <c r="H548" s="42"/>
      <c r="I548" s="178">
        <f>SUM(H535:H548)</f>
        <v>5549.9776000000011</v>
      </c>
      <c r="J548" s="168"/>
      <c r="K548" s="169"/>
      <c r="L548" s="170"/>
      <c r="M548" s="171"/>
      <c r="O548" s="174"/>
      <c r="P548" s="162"/>
    </row>
    <row r="549" spans="1:22" ht="16.5" customHeight="1" x14ac:dyDescent="0.2">
      <c r="A549" s="38">
        <f>COUNTIF($J$1:J549,"!")</f>
        <v>34</v>
      </c>
      <c r="B549" s="179" t="s">
        <v>47</v>
      </c>
      <c r="C549" s="164"/>
      <c r="D549" s="166"/>
      <c r="E549" s="166"/>
      <c r="F549" s="166"/>
      <c r="G549" s="42"/>
      <c r="H549" s="42">
        <f>IFERROR(J549*K549,"")</f>
        <v>800</v>
      </c>
      <c r="I549" s="167"/>
      <c r="J549" s="168">
        <f>P$1</f>
        <v>1</v>
      </c>
      <c r="K549" s="169">
        <f>L549*M549</f>
        <v>800</v>
      </c>
      <c r="L549" s="170">
        <f>F535</f>
        <v>1</v>
      </c>
      <c r="M549" s="171">
        <f>IF(B549="成套费",IF(ISNUMBER(FIND("GGD",O549)),800,IF(OR(ISNUMBER(FIND("GCS",O549)),ISNUMBER(FIND("GCK",O549)),ISNUMBER(FIND("MNS",O549))),1000,"")),IF(B549="辅件费",IF(VLOOKUP(A550,A$1:B549,2,FALSE)="低压电容柜",500,300),""))</f>
        <v>800</v>
      </c>
      <c r="O549" s="180" t="str">
        <f>C535</f>
        <v>GGD-1200*600*2000</v>
      </c>
    </row>
    <row r="550" spans="1:22" s="161" customFormat="1" ht="16.5" customHeight="1" x14ac:dyDescent="0.2">
      <c r="A550" s="38">
        <f>COUNTIF($J$1:J550,"!")</f>
        <v>34</v>
      </c>
      <c r="B550" s="179" t="s">
        <v>49</v>
      </c>
      <c r="C550" s="164"/>
      <c r="D550" s="166"/>
      <c r="E550" s="166"/>
      <c r="F550" s="166"/>
      <c r="G550" s="42"/>
      <c r="H550" s="42">
        <f>IFERROR(J550*K550,"")</f>
        <v>300</v>
      </c>
      <c r="I550" s="167"/>
      <c r="J550" s="168">
        <f>P$1</f>
        <v>1</v>
      </c>
      <c r="K550" s="169">
        <f>L550*M550</f>
        <v>300</v>
      </c>
      <c r="L550" s="170">
        <f>F535</f>
        <v>1</v>
      </c>
      <c r="M550" s="171">
        <f>IF(B550="成套费",IF(ISNUMBER(FIND("GGD",O550)),800,IF(OR(ISNUMBER(FIND("GCS",O550)),ISNUMBER(FIND("GCK",O550)),ISNUMBER(FIND("MNS",O550))),1000,"")),IF(B550="辅件费",IF(VLOOKUP(A550,A$1:B550,2,FALSE)="低压电容柜",500,300),""))</f>
        <v>300</v>
      </c>
      <c r="N550" s="181"/>
      <c r="O550" s="182" t="str">
        <f>O549</f>
        <v>GGD-1200*600*2000</v>
      </c>
      <c r="R550" s="162"/>
      <c r="S550" s="162"/>
    </row>
    <row r="551" spans="1:22" s="161" customFormat="1" ht="16.5" customHeight="1" x14ac:dyDescent="0.2">
      <c r="A551" s="38">
        <f>COUNTIF($J$1:J551,"!")</f>
        <v>34</v>
      </c>
      <c r="B551" s="179" t="s">
        <v>79</v>
      </c>
      <c r="C551" s="164"/>
      <c r="D551" s="166"/>
      <c r="E551" s="166"/>
      <c r="F551" s="166"/>
      <c r="G551" s="42"/>
      <c r="H551" s="42">
        <f>K551*L551</f>
        <v>797.99731200000008</v>
      </c>
      <c r="I551" s="167"/>
      <c r="J551" s="168"/>
      <c r="K551" s="169">
        <f>SUM(H548:H550)+I548</f>
        <v>6649.9776000000011</v>
      </c>
      <c r="L551" s="279">
        <f>R$1</f>
        <v>0.12</v>
      </c>
      <c r="M551" s="171"/>
      <c r="N551" s="181"/>
      <c r="O551" s="162"/>
      <c r="R551" s="162"/>
      <c r="S551" s="162"/>
    </row>
    <row r="552" spans="1:22" ht="16.5" customHeight="1" x14ac:dyDescent="0.2">
      <c r="A552" s="38">
        <f>COUNTIF($J$1:J552,"!")</f>
        <v>34</v>
      </c>
      <c r="B552" s="179" t="s">
        <v>108</v>
      </c>
      <c r="C552" s="164"/>
      <c r="D552" s="166"/>
      <c r="E552" s="166"/>
      <c r="F552" s="166"/>
      <c r="G552" s="184"/>
      <c r="H552" s="42">
        <f>K552*L552</f>
        <v>223.43924736000002</v>
      </c>
      <c r="I552" s="167"/>
      <c r="J552" s="168"/>
      <c r="K552" s="169">
        <f>H551+K551</f>
        <v>7447.9749120000015</v>
      </c>
      <c r="L552" s="279">
        <f>T$1</f>
        <v>0.03</v>
      </c>
      <c r="M552" s="171"/>
      <c r="O552" s="162"/>
    </row>
    <row r="553" spans="1:22" ht="16.5" customHeight="1" x14ac:dyDescent="0.15">
      <c r="A553" s="32">
        <f>COUNTIF($J$1:J553,"!")</f>
        <v>35</v>
      </c>
      <c r="B553" s="33" t="s">
        <v>159</v>
      </c>
      <c r="C553" s="277" t="str">
        <f>LOOKUP(0,0/((RIGHT(B493:B553,3)="变压器")*(D493:D553=D553)),N493:N553)&amp;"10/0.4"</f>
        <v>400KVA 10/0.4</v>
      </c>
      <c r="D553" s="159" t="s">
        <v>3160</v>
      </c>
      <c r="E553" s="34" t="s">
        <v>23</v>
      </c>
      <c r="F553" s="159">
        <v>1</v>
      </c>
      <c r="G553" s="36">
        <f>ROUND(SUM(H554:H562),0)</f>
        <v>20521</v>
      </c>
      <c r="H553" s="160" t="str">
        <f>IF(ISNUMBER(FIND(" ",C554)),MID(C554,1,FIND(" ",C554)-1),IF(ISNUMBER(FIND("电容柜",B553)),"GGJ",MID(C554,1,FIND("-",C554)-1)))</f>
        <v>YBP</v>
      </c>
      <c r="I553" s="47" t="str">
        <f>MID(C554,IF(LEN(C554)-LEN(H553)&gt;3,LEN(H553)+2,1),30)</f>
        <v>3700*2200*2650</v>
      </c>
      <c r="J553" s="48" t="s">
        <v>24</v>
      </c>
      <c r="K553" s="49"/>
      <c r="L553" s="50"/>
      <c r="M553" s="51"/>
      <c r="O553" s="297"/>
      <c r="P553" s="161">
        <v>1650</v>
      </c>
      <c r="Q553" s="162">
        <v>2900</v>
      </c>
      <c r="R553" s="157">
        <v>1900</v>
      </c>
      <c r="S553" s="162">
        <v>1850</v>
      </c>
      <c r="T553" s="157">
        <v>3000</v>
      </c>
      <c r="U553" s="157">
        <v>2400</v>
      </c>
      <c r="V553" s="157">
        <v>3600</v>
      </c>
    </row>
    <row r="554" spans="1:22" ht="16.5" customHeight="1" x14ac:dyDescent="0.2">
      <c r="A554" s="38">
        <f>COUNTIF($J$1:J554,"!")</f>
        <v>35</v>
      </c>
      <c r="B554" s="163" t="s">
        <v>25</v>
      </c>
      <c r="C554" s="164" t="s">
        <v>3165</v>
      </c>
      <c r="D554" s="165" t="s">
        <v>3242</v>
      </c>
      <c r="E554" s="166" t="s">
        <v>29</v>
      </c>
      <c r="F554" s="166">
        <v>1</v>
      </c>
      <c r="G554" s="42">
        <f>IFERROR(J554*K554,"")</f>
        <v>12759.45</v>
      </c>
      <c r="H554" s="42">
        <f>IFERROR(G554*F554,"")</f>
        <v>12759.45</v>
      </c>
      <c r="I554" s="167"/>
      <c r="J554" s="168">
        <f>P$1</f>
        <v>1</v>
      </c>
      <c r="K554" s="169">
        <f>IFERROR(M554*L554,"")</f>
        <v>12759.45</v>
      </c>
      <c r="L554" s="170">
        <v>0.95</v>
      </c>
      <c r="M554" s="171">
        <f>IFERROR(Q554*R554,"")</f>
        <v>13431.000000000002</v>
      </c>
      <c r="N554" s="172" t="str">
        <f ca="1">IF(AND(ISNUMBER(FIND("IF",_xlfn.FORMULATEXT(L554))),ISNUMBER(FIND("IF",_xlfn.FORMULATEXT(M554)))),"","值")</f>
        <v>值</v>
      </c>
      <c r="O554" s="174" t="str">
        <f>O558</f>
        <v>YBP-3700*2200*2650</v>
      </c>
      <c r="P554" s="157" t="s">
        <v>2209</v>
      </c>
      <c r="Q554" s="300">
        <f>IF(P554=304,V553,IF(P554=201,T553,IF(P554="彩钢板",P553,IF(P554="敷铝锌贴木条",Q553,IF(P554="金属雕花",U553,IF(P554="GRC",R553,IF(P554="水泥变",S553,)))))))</f>
        <v>1650</v>
      </c>
      <c r="R554" s="161">
        <f>(MID(C554,FIND("-",C554)+1,FIND("*",C554)-FIND("-",C554)-1)*MID(C554,FIND("*",C554)+1,FIND("*",MID(C554,FIND("*",C554)+1,30))-1))/1000000*IF(ROUND(RIGHT(C554,4),0)&gt;2650,1/2.65*2.95,1)</f>
        <v>8.14</v>
      </c>
    </row>
    <row r="555" spans="1:22" s="175" customFormat="1" ht="16.5" customHeight="1" x14ac:dyDescent="0.2">
      <c r="A555" s="38">
        <f>COUNTIF($J$1:J555,"!")</f>
        <v>35</v>
      </c>
      <c r="B555" s="163" t="str">
        <f>IFERROR(VLOOKUP(C555,元件库!$B:$O,3,FALSE),"")</f>
        <v>铜排</v>
      </c>
      <c r="C555" s="164" t="s">
        <v>1889</v>
      </c>
      <c r="D555" s="165" t="str">
        <f>IFERROR(VLOOKUP(C555,元件库!$B:$O,2,FALSE),"")</f>
        <v>欣利铜材</v>
      </c>
      <c r="E555" s="166" t="str">
        <f>IF(D555="欣利铜材","米",IF(B555="氧化锌避雷器","组","只"))</f>
        <v>米</v>
      </c>
      <c r="F555" s="166">
        <v>8</v>
      </c>
      <c r="G555" s="42">
        <f>IFERROR(J555*K555,"")</f>
        <v>182.62799999999999</v>
      </c>
      <c r="H555" s="42">
        <f>IFERROR(G555*F555,"")</f>
        <v>1461.0239999999999</v>
      </c>
      <c r="I555" s="167"/>
      <c r="J555" s="168">
        <f>P$1</f>
        <v>1</v>
      </c>
      <c r="K555" s="169">
        <f>IFERROR(M555*L555,"")</f>
        <v>182.62799999999999</v>
      </c>
      <c r="L555" s="170">
        <f>IFERROR(VLOOKUP(C555,元件库!$B:$O,10,FALSE),"1.00")</f>
        <v>1</v>
      </c>
      <c r="M555" s="171">
        <f>IFERROR(VLOOKUP(C555,元件库!$B:$O,11,FALSE),"")</f>
        <v>182.62799999999999</v>
      </c>
      <c r="N555" s="172" t="str">
        <f ca="1">IF(AND(ISNUMBER(FIND("IF",_xlfn.FORMULATEXT(L555))),ISNUMBER(FIND("IF",_xlfn.FORMULATEXT(M555)))),"","值")</f>
        <v/>
      </c>
      <c r="O555" s="174" t="str">
        <f>O558</f>
        <v>YBP-3700*2200*2650</v>
      </c>
    </row>
    <row r="556" spans="1:22" s="173" customFormat="1" ht="16.5" customHeight="1" x14ac:dyDescent="0.2">
      <c r="A556" s="38">
        <f>COUNTIF($J$1:J556,"!")</f>
        <v>35</v>
      </c>
      <c r="B556" s="163" t="str">
        <f>IFERROR(VLOOKUP(C556,元件库!$B:$O,3,FALSE),"")</f>
        <v>铜排</v>
      </c>
      <c r="C556" s="164" t="s">
        <v>2673</v>
      </c>
      <c r="D556" s="165" t="str">
        <f>IFERROR(VLOOKUP(C556,元件库!$B:$O,2,FALSE),"")</f>
        <v>欣利铜材</v>
      </c>
      <c r="E556" s="166" t="s">
        <v>39</v>
      </c>
      <c r="F556" s="166">
        <v>10</v>
      </c>
      <c r="G556" s="42">
        <f>IFERROR(J556*K556,"")</f>
        <v>126.82499999999999</v>
      </c>
      <c r="H556" s="42">
        <f>IFERROR(G556*F556,"")</f>
        <v>1268.25</v>
      </c>
      <c r="I556" s="167"/>
      <c r="J556" s="168">
        <f>P$1</f>
        <v>1</v>
      </c>
      <c r="K556" s="169">
        <f>IFERROR(M556*L556,"")</f>
        <v>126.82499999999999</v>
      </c>
      <c r="L556" s="170">
        <f>IFERROR(VLOOKUP(C556,元件库!$B:$O,10,FALSE),"1.00")</f>
        <v>1</v>
      </c>
      <c r="M556" s="171">
        <f>IFERROR(VLOOKUP(C556,元件库!$B:$O,11,FALSE),"")</f>
        <v>126.82499999999999</v>
      </c>
      <c r="N556" s="172" t="str">
        <f ca="1">IF(AND(ISNUMBER(FIND("IF",_xlfn.FORMULATEXT(L556))),ISNUMBER(FIND("IF",_xlfn.FORMULATEXT(M556)))),"","值")</f>
        <v/>
      </c>
      <c r="O556" s="174" t="str">
        <f>O558</f>
        <v>YBP-3700*2200*2650</v>
      </c>
      <c r="P556" s="161"/>
    </row>
    <row r="557" spans="1:22" ht="16.5" customHeight="1" x14ac:dyDescent="0.2">
      <c r="A557" s="38">
        <f>COUNTIF($J$1:J557,"!")</f>
        <v>35</v>
      </c>
      <c r="B557" s="177" t="s">
        <v>107</v>
      </c>
      <c r="C557" s="164"/>
      <c r="D557" s="166"/>
      <c r="E557" s="166"/>
      <c r="F557" s="166"/>
      <c r="G557" s="42"/>
      <c r="H557" s="42"/>
      <c r="I557" s="178">
        <f>SUM(H554:H557)</f>
        <v>15488.724</v>
      </c>
      <c r="J557" s="168"/>
      <c r="K557" s="169"/>
      <c r="L557" s="170"/>
      <c r="M557" s="171"/>
      <c r="O557" s="174"/>
      <c r="P557" s="162"/>
      <c r="Q557" s="157"/>
    </row>
    <row r="558" spans="1:22" ht="16.5" customHeight="1" x14ac:dyDescent="0.2">
      <c r="A558" s="38">
        <f>COUNTIF($J$1:J558,"!")</f>
        <v>35</v>
      </c>
      <c r="B558" s="179" t="s">
        <v>47</v>
      </c>
      <c r="C558" s="164"/>
      <c r="D558" s="166"/>
      <c r="E558" s="166"/>
      <c r="F558" s="166"/>
      <c r="G558" s="42"/>
      <c r="H558" s="42">
        <f>IFERROR(J558*K558*L558,"")</f>
        <v>1500</v>
      </c>
      <c r="I558" s="167"/>
      <c r="J558" s="168">
        <f>P$1</f>
        <v>1</v>
      </c>
      <c r="K558" s="169">
        <f>IFERROR(M558*L558,"")</f>
        <v>1500</v>
      </c>
      <c r="L558" s="170" t="str">
        <f>IFERROR(VLOOKUP(C558,元件库!$B:$O,10,FALSE),"1.00")</f>
        <v>1.00</v>
      </c>
      <c r="M558" s="171">
        <v>1500</v>
      </c>
      <c r="O558" s="174" t="str">
        <f>LOOKUP(0,0/((A553:A557=A558)*(B553:B557="壳体W*D*H")),C553:C557)</f>
        <v>YBP-3700*2200*2650</v>
      </c>
    </row>
    <row r="559" spans="1:22" s="161" customFormat="1" ht="16.5" customHeight="1" x14ac:dyDescent="0.2">
      <c r="A559" s="38">
        <f>COUNTIF($J$1:J559,"!")</f>
        <v>35</v>
      </c>
      <c r="B559" s="179" t="s">
        <v>49</v>
      </c>
      <c r="C559" s="164"/>
      <c r="D559" s="166"/>
      <c r="E559" s="166"/>
      <c r="F559" s="166"/>
      <c r="G559" s="42"/>
      <c r="H559" s="42">
        <f>IFERROR(J559*K559*L559,"")</f>
        <v>500</v>
      </c>
      <c r="I559" s="167"/>
      <c r="J559" s="168">
        <f>P$1</f>
        <v>1</v>
      </c>
      <c r="K559" s="169">
        <f>IFERROR(M559*L559,"")</f>
        <v>500</v>
      </c>
      <c r="L559" s="170" t="str">
        <f>IFERROR(VLOOKUP(C559,元件库!$B:$O,10,FALSE),"1.00")</f>
        <v>1.00</v>
      </c>
      <c r="M559" s="171">
        <v>500</v>
      </c>
      <c r="N559" s="181"/>
      <c r="O559" s="174" t="str">
        <f>O558</f>
        <v>YBP-3700*2200*2650</v>
      </c>
      <c r="Q559" s="162"/>
      <c r="R559" s="162"/>
      <c r="S559" s="162"/>
    </row>
    <row r="560" spans="1:22" s="161" customFormat="1" ht="16.5" customHeight="1" x14ac:dyDescent="0.2">
      <c r="A560" s="38">
        <f>COUNTIF($J$1:J560,"!")</f>
        <v>35</v>
      </c>
      <c r="B560" s="179" t="s">
        <v>50</v>
      </c>
      <c r="C560" s="164"/>
      <c r="D560" s="166"/>
      <c r="E560" s="166"/>
      <c r="F560" s="166"/>
      <c r="G560" s="42"/>
      <c r="H560" s="42">
        <f>IFERROR(J560*K560*L560,"")</f>
        <v>300</v>
      </c>
      <c r="I560" s="167"/>
      <c r="J560" s="168">
        <f>P$1</f>
        <v>1</v>
      </c>
      <c r="K560" s="169">
        <f>IFERROR(M560*L560,"")</f>
        <v>300</v>
      </c>
      <c r="L560" s="170" t="str">
        <f>IFERROR(VLOOKUP(C560,元件库!$B:$O,10,FALSE),"1.00")</f>
        <v>1.00</v>
      </c>
      <c r="M560" s="171">
        <v>300</v>
      </c>
      <c r="N560" s="181"/>
      <c r="O560" s="174"/>
      <c r="Q560" s="162"/>
      <c r="R560" s="162"/>
      <c r="S560" s="162"/>
    </row>
    <row r="561" spans="1:23" s="161" customFormat="1" ht="16.5" customHeight="1" x14ac:dyDescent="0.2">
      <c r="A561" s="38">
        <f>COUNTIF($J$1:J561,"!")</f>
        <v>35</v>
      </c>
      <c r="B561" s="179" t="s">
        <v>79</v>
      </c>
      <c r="C561" s="164"/>
      <c r="D561" s="166"/>
      <c r="E561" s="166"/>
      <c r="F561" s="166"/>
      <c r="G561" s="42"/>
      <c r="H561" s="42">
        <f>K561*L561</f>
        <v>2134.6468800000002</v>
      </c>
      <c r="I561" s="167"/>
      <c r="J561" s="168"/>
      <c r="K561" s="169">
        <f>SUM(H558:H560)+I557</f>
        <v>17788.724000000002</v>
      </c>
      <c r="L561" s="279">
        <f>R$1</f>
        <v>0.12</v>
      </c>
      <c r="M561" s="171"/>
      <c r="N561" s="181"/>
      <c r="O561" s="174"/>
      <c r="Q561" s="162"/>
      <c r="R561" s="162"/>
      <c r="S561" s="162"/>
    </row>
    <row r="562" spans="1:23" ht="16.5" customHeight="1" x14ac:dyDescent="0.2">
      <c r="A562" s="38">
        <f>COUNTIF($J$1:J562,"!")</f>
        <v>35</v>
      </c>
      <c r="B562" s="179" t="s">
        <v>108</v>
      </c>
      <c r="C562" s="164"/>
      <c r="D562" s="166"/>
      <c r="E562" s="166"/>
      <c r="F562" s="166"/>
      <c r="G562" s="184"/>
      <c r="H562" s="42">
        <f>K562*L562</f>
        <v>597.70112640000002</v>
      </c>
      <c r="I562" s="167"/>
      <c r="J562" s="168"/>
      <c r="K562" s="169">
        <f>H561+K561</f>
        <v>19923.370880000002</v>
      </c>
      <c r="L562" s="279">
        <f>T$1</f>
        <v>0.03</v>
      </c>
      <c r="M562" s="171"/>
    </row>
    <row r="563" spans="1:23" s="162" customFormat="1" ht="16.5" customHeight="1" x14ac:dyDescent="0.15">
      <c r="A563" s="32">
        <f>COUNTIF($J$1:J563,"!")</f>
        <v>36</v>
      </c>
      <c r="B563" s="33" t="s">
        <v>1895</v>
      </c>
      <c r="C563" s="296" t="s">
        <v>3166</v>
      </c>
      <c r="D563" s="159" t="s">
        <v>3167</v>
      </c>
      <c r="E563" s="34" t="s">
        <v>23</v>
      </c>
      <c r="F563" s="159">
        <v>1</v>
      </c>
      <c r="G563" s="36">
        <f>ROUND(SUM(H564:H585),0)</f>
        <v>7552</v>
      </c>
      <c r="H563" s="160" t="str">
        <f>IF(ISNUMBER(FIND(" ",C564)),MID(C564,1,FIND(" ",C564)-1),IF(ISNUMBER(FIND("电容柜",B563)),"GGJ",MID(C564,1,FIND("-",C564)-1)))</f>
        <v>HXGN</v>
      </c>
      <c r="I563" s="47" t="str">
        <f>MID(C564,IF(LEN(C564)-LEN(H563)&gt;3,LEN(H563)+2,1),30)</f>
        <v>500*900*2000</v>
      </c>
      <c r="J563" s="48" t="s">
        <v>24</v>
      </c>
      <c r="K563" s="49"/>
      <c r="L563" s="50"/>
      <c r="M563" s="51"/>
      <c r="N563" s="172"/>
      <c r="O563" s="161"/>
    </row>
    <row r="564" spans="1:23" s="162" customFormat="1" ht="16.5" customHeight="1" x14ac:dyDescent="0.2">
      <c r="A564" s="38">
        <f>COUNTIF($J$1:J564,"!")</f>
        <v>36</v>
      </c>
      <c r="B564" s="163" t="str">
        <f>IFERROR(VLOOKUP(C564,元件库!$B:$O,3,FALSE),"")</f>
        <v>壳体W*D*H</v>
      </c>
      <c r="C564" s="164" t="s">
        <v>3120</v>
      </c>
      <c r="D564" s="165" t="str">
        <f>IFERROR(VLOOKUP(C564,元件库!$B:$O,2,FALSE),"")</f>
        <v>精益联合集团</v>
      </c>
      <c r="E564" s="166" t="str">
        <f t="shared" ref="E564:E571" si="204">IF(D564="欣利铜材","米",IF(B564="氧化锌避雷器","组","只"))</f>
        <v>只</v>
      </c>
      <c r="F564" s="166">
        <v>1</v>
      </c>
      <c r="G564" s="42">
        <f t="shared" ref="G564:G571" si="205">IFERROR(J564*K564,"")</f>
        <v>1500</v>
      </c>
      <c r="H564" s="42">
        <f t="shared" ref="H564:H571" si="206">IFERROR(G564*F564,"")</f>
        <v>1500</v>
      </c>
      <c r="I564" s="167"/>
      <c r="J564" s="168">
        <f t="shared" ref="J564:J571" si="207">P$1</f>
        <v>1</v>
      </c>
      <c r="K564" s="169">
        <f t="shared" ref="K564:K571" si="208">IFERROR(M564*L564,"")</f>
        <v>1500</v>
      </c>
      <c r="L564" s="170">
        <f>IFERROR(VLOOKUP(C564,元件库!$B:$O,10,FALSE),"1.00")</f>
        <v>1</v>
      </c>
      <c r="M564" s="171">
        <f>IFERROR(VLOOKUP(C564,元件库!$B:$O,11,FALSE),"")</f>
        <v>1500</v>
      </c>
      <c r="N564" s="172" t="str">
        <f t="shared" ref="N564:N580" ca="1" si="209">IF(AND(ISNUMBER(FIND("IF",_xlfn.FORMULATEXT(L564))),ISNUMBER(FIND("IF",_xlfn.FORMULATEXT(M564)))),"","值")</f>
        <v/>
      </c>
      <c r="O564" s="157"/>
      <c r="P564" s="157"/>
    </row>
    <row r="565" spans="1:23" s="175" customFormat="1" ht="16.5" customHeight="1" x14ac:dyDescent="0.2">
      <c r="A565" s="38">
        <f>COUNTIF($J$1:J565,"!")</f>
        <v>36</v>
      </c>
      <c r="B565" s="163" t="str">
        <f>IFERROR(VLOOKUP(C565,元件库!$B:$O,3,FALSE),"")</f>
        <v>高压熔断器</v>
      </c>
      <c r="C565" s="164" t="s">
        <v>3041</v>
      </c>
      <c r="D565" s="165" t="str">
        <f>IFERROR(VLOOKUP(C565,元件库!$B:$O,2,FALSE),"")</f>
        <v>上海智广</v>
      </c>
      <c r="E565" s="166" t="str">
        <f t="shared" si="204"/>
        <v>只</v>
      </c>
      <c r="F565" s="166">
        <v>3</v>
      </c>
      <c r="G565" s="42">
        <f t="shared" si="205"/>
        <v>60</v>
      </c>
      <c r="H565" s="42">
        <f t="shared" si="206"/>
        <v>180</v>
      </c>
      <c r="I565" s="167"/>
      <c r="J565" s="168">
        <f t="shared" si="207"/>
        <v>1</v>
      </c>
      <c r="K565" s="169">
        <f t="shared" si="208"/>
        <v>60</v>
      </c>
      <c r="L565" s="170">
        <f>IFERROR(VLOOKUP(C565,元件库!$B:$O,10,FALSE),"1.00")</f>
        <v>1</v>
      </c>
      <c r="M565" s="171">
        <f>IFERROR(VLOOKUP(C565,元件库!$B:$O,11,FALSE),"")</f>
        <v>60</v>
      </c>
      <c r="N565" s="172" t="str">
        <f t="shared" ca="1" si="209"/>
        <v/>
      </c>
      <c r="O565" s="157"/>
      <c r="W565" s="162"/>
    </row>
    <row r="566" spans="1:23" s="175" customFormat="1" ht="16.5" customHeight="1" x14ac:dyDescent="0.2">
      <c r="A566" s="38">
        <f>COUNTIF($J$1:J566,"!")</f>
        <v>36</v>
      </c>
      <c r="B566" s="163" t="str">
        <f>IFERROR(VLOOKUP(C566,元件库!$B:$O,3,FALSE),"")</f>
        <v>电压互感器</v>
      </c>
      <c r="C566" s="164" t="s">
        <v>2135</v>
      </c>
      <c r="D566" s="165" t="str">
        <f>IFERROR(VLOOKUP(C566,元件库!$B:$O,2,FALSE),"")</f>
        <v>浙江泰成</v>
      </c>
      <c r="E566" s="166" t="str">
        <f t="shared" si="204"/>
        <v>只</v>
      </c>
      <c r="F566" s="166">
        <v>2</v>
      </c>
      <c r="G566" s="42">
        <f t="shared" si="205"/>
        <v>963</v>
      </c>
      <c r="H566" s="42">
        <f t="shared" si="206"/>
        <v>1926</v>
      </c>
      <c r="I566" s="167"/>
      <c r="J566" s="168">
        <f t="shared" si="207"/>
        <v>1</v>
      </c>
      <c r="K566" s="169">
        <f t="shared" si="208"/>
        <v>963</v>
      </c>
      <c r="L566" s="170">
        <f>IFERROR(VLOOKUP(C566,元件库!$B:$O,10,FALSE),"1.00")</f>
        <v>1</v>
      </c>
      <c r="M566" s="171">
        <f>IFERROR(VLOOKUP(C566,元件库!$B:$O,11,FALSE),"")</f>
        <v>963</v>
      </c>
      <c r="N566" s="172" t="str">
        <f t="shared" ca="1" si="209"/>
        <v/>
      </c>
      <c r="O566" s="157"/>
      <c r="W566" s="162"/>
    </row>
    <row r="567" spans="1:23" s="175" customFormat="1" ht="16.5" customHeight="1" x14ac:dyDescent="0.2">
      <c r="A567" s="38">
        <f>COUNTIF($J$1:J567,"!")</f>
        <v>36</v>
      </c>
      <c r="B567" s="163" t="str">
        <f>IFERROR(VLOOKUP(C567,元件库!$B:$O,3,FALSE),"")</f>
        <v>电流.电压表</v>
      </c>
      <c r="C567" s="164" t="s">
        <v>1899</v>
      </c>
      <c r="D567" s="165" t="str">
        <f>IFERROR(VLOOKUP(C567,元件库!$B:$O,2,FALSE),"")</f>
        <v>精益联合集团</v>
      </c>
      <c r="E567" s="166" t="str">
        <f t="shared" si="204"/>
        <v>只</v>
      </c>
      <c r="F567" s="166">
        <v>3</v>
      </c>
      <c r="G567" s="42">
        <f t="shared" si="205"/>
        <v>13.750000000000002</v>
      </c>
      <c r="H567" s="42">
        <f t="shared" si="206"/>
        <v>41.250000000000007</v>
      </c>
      <c r="I567" s="167"/>
      <c r="J567" s="168">
        <f t="shared" si="207"/>
        <v>1</v>
      </c>
      <c r="K567" s="169">
        <f t="shared" si="208"/>
        <v>13.750000000000002</v>
      </c>
      <c r="L567" s="170">
        <f>IFERROR(VLOOKUP(C567,元件库!$B:$O,10,FALSE),"1.00")</f>
        <v>0.55000000000000004</v>
      </c>
      <c r="M567" s="171">
        <f>IFERROR(VLOOKUP(C567,元件库!$B:$O,11,FALSE),"")</f>
        <v>25</v>
      </c>
      <c r="N567" s="172" t="str">
        <f t="shared" ca="1" si="209"/>
        <v/>
      </c>
      <c r="O567" s="157"/>
      <c r="W567" s="162"/>
    </row>
    <row r="568" spans="1:23" s="175" customFormat="1" ht="16.5" customHeight="1" x14ac:dyDescent="0.2">
      <c r="A568" s="38">
        <f>COUNTIF($J$1:J568,"!")</f>
        <v>36</v>
      </c>
      <c r="B568" s="163" t="str">
        <f>IFERROR(VLOOKUP(C568,元件库!$B:$O,3,FALSE),"")</f>
        <v>氧化锌避雷器</v>
      </c>
      <c r="C568" s="164" t="s">
        <v>1917</v>
      </c>
      <c r="D568" s="165" t="str">
        <f>IFERROR(VLOOKUP(C568,元件库!$B:$O,2,FALSE),"")</f>
        <v>雷恩电气</v>
      </c>
      <c r="E568" s="166" t="str">
        <f t="shared" si="204"/>
        <v>组</v>
      </c>
      <c r="F568" s="166">
        <v>1</v>
      </c>
      <c r="G568" s="42">
        <f t="shared" si="205"/>
        <v>200</v>
      </c>
      <c r="H568" s="42">
        <f t="shared" si="206"/>
        <v>200</v>
      </c>
      <c r="I568" s="167"/>
      <c r="J568" s="168">
        <f t="shared" si="207"/>
        <v>1</v>
      </c>
      <c r="K568" s="169">
        <f t="shared" si="208"/>
        <v>200</v>
      </c>
      <c r="L568" s="170">
        <f>IFERROR(VLOOKUP(C568,元件库!$B:$O,10,FALSE),"1.00")</f>
        <v>1</v>
      </c>
      <c r="M568" s="171">
        <f>IFERROR(VLOOKUP(C568,元件库!$B:$O,11,FALSE),"")</f>
        <v>200</v>
      </c>
      <c r="N568" s="172" t="str">
        <f t="shared" ca="1" si="209"/>
        <v/>
      </c>
      <c r="O568" s="157"/>
      <c r="W568" s="162"/>
    </row>
    <row r="569" spans="1:23" s="175" customFormat="1" ht="16.5" customHeight="1" x14ac:dyDescent="0.2">
      <c r="A569" s="38">
        <f>COUNTIF($J$1:J569,"!")</f>
        <v>36</v>
      </c>
      <c r="B569" s="163" t="str">
        <f>IFERROR(VLOOKUP(C569,元件库!$B:$O,3,FALSE),"")</f>
        <v>穿墙套管</v>
      </c>
      <c r="C569" s="164" t="s">
        <v>135</v>
      </c>
      <c r="D569" s="165" t="str">
        <f>IFERROR(VLOOKUP(C569,元件库!$B:$O,2,FALSE),"")</f>
        <v>福一开</v>
      </c>
      <c r="E569" s="166" t="str">
        <f t="shared" si="204"/>
        <v>只</v>
      </c>
      <c r="F569" s="166">
        <v>3</v>
      </c>
      <c r="G569" s="42">
        <f t="shared" si="205"/>
        <v>45</v>
      </c>
      <c r="H569" s="42">
        <f t="shared" si="206"/>
        <v>135</v>
      </c>
      <c r="I569" s="167"/>
      <c r="J569" s="168">
        <f t="shared" si="207"/>
        <v>1</v>
      </c>
      <c r="K569" s="169">
        <f t="shared" si="208"/>
        <v>45</v>
      </c>
      <c r="L569" s="170">
        <f>IFERROR(VLOOKUP(C569,元件库!$B:$O,10,FALSE),"1.00")</f>
        <v>1</v>
      </c>
      <c r="M569" s="171">
        <f>IFERROR(VLOOKUP(C569,元件库!$B:$O,11,FALSE),"")</f>
        <v>45</v>
      </c>
      <c r="N569" s="172" t="str">
        <f t="shared" ca="1" si="209"/>
        <v/>
      </c>
      <c r="O569" s="157"/>
      <c r="W569" s="162"/>
    </row>
    <row r="570" spans="1:23" s="175" customFormat="1" ht="16.5" customHeight="1" x14ac:dyDescent="0.2">
      <c r="A570" s="38">
        <f>COUNTIF($J$1:J570,"!")</f>
        <v>36</v>
      </c>
      <c r="B570" s="163" t="str">
        <f>IFERROR(VLOOKUP(C570,元件库!$B:$O,3,FALSE),"")</f>
        <v>支柱绝缘子</v>
      </c>
      <c r="C570" s="164" t="s">
        <v>136</v>
      </c>
      <c r="D570" s="165" t="str">
        <f>IFERROR(VLOOKUP(C570,元件库!$B:$O,2,FALSE),"")</f>
        <v>福一开</v>
      </c>
      <c r="E570" s="166" t="str">
        <f t="shared" si="204"/>
        <v>只</v>
      </c>
      <c r="F570" s="166">
        <v>3</v>
      </c>
      <c r="G570" s="42">
        <f t="shared" si="205"/>
        <v>22</v>
      </c>
      <c r="H570" s="42">
        <f t="shared" si="206"/>
        <v>66</v>
      </c>
      <c r="I570" s="167"/>
      <c r="J570" s="168">
        <f t="shared" si="207"/>
        <v>1</v>
      </c>
      <c r="K570" s="169">
        <f t="shared" si="208"/>
        <v>22</v>
      </c>
      <c r="L570" s="170">
        <f>IFERROR(VLOOKUP(C570,元件库!$B:$O,10,FALSE),"1.00")</f>
        <v>1</v>
      </c>
      <c r="M570" s="171">
        <f>IFERROR(VLOOKUP(C570,元件库!$B:$O,11,FALSE),"")</f>
        <v>22</v>
      </c>
      <c r="N570" s="172" t="str">
        <f t="shared" ca="1" si="209"/>
        <v/>
      </c>
      <c r="O570" s="157"/>
      <c r="W570" s="162"/>
    </row>
    <row r="571" spans="1:23" s="175" customFormat="1" ht="16.5" customHeight="1" x14ac:dyDescent="0.2">
      <c r="A571" s="38">
        <f>COUNTIF($J$1:J571,"!")</f>
        <v>36</v>
      </c>
      <c r="B571" s="163" t="str">
        <f>IFERROR(VLOOKUP(C571,元件库!$B:$O,3,FALSE),"")</f>
        <v>电压传感器</v>
      </c>
      <c r="C571" s="164" t="s">
        <v>137</v>
      </c>
      <c r="D571" s="165" t="str">
        <f>IFERROR(VLOOKUP(C571,元件库!$B:$O,2,FALSE),"")</f>
        <v>福一开</v>
      </c>
      <c r="E571" s="166" t="str">
        <f t="shared" si="204"/>
        <v>只</v>
      </c>
      <c r="F571" s="166">
        <v>1</v>
      </c>
      <c r="G571" s="42">
        <f t="shared" si="205"/>
        <v>93</v>
      </c>
      <c r="H571" s="42">
        <f t="shared" si="206"/>
        <v>93</v>
      </c>
      <c r="I571" s="167"/>
      <c r="J571" s="168">
        <f t="shared" si="207"/>
        <v>1</v>
      </c>
      <c r="K571" s="169">
        <f t="shared" si="208"/>
        <v>93</v>
      </c>
      <c r="L571" s="170">
        <f>IFERROR(VLOOKUP(C571,元件库!$B:$O,10,FALSE),"1.00")</f>
        <v>1</v>
      </c>
      <c r="M571" s="171">
        <f>IFERROR(VLOOKUP(C571,元件库!$B:$O,11,FALSE),"")</f>
        <v>93</v>
      </c>
      <c r="N571" s="172" t="str">
        <f t="shared" ca="1" si="209"/>
        <v/>
      </c>
      <c r="O571" s="157"/>
      <c r="W571" s="162"/>
    </row>
    <row r="572" spans="1:23" s="175" customFormat="1" ht="16.5" customHeight="1" x14ac:dyDescent="0.2">
      <c r="A572" s="38">
        <f>COUNTIF($J$1:J572,"!")</f>
        <v>36</v>
      </c>
      <c r="B572" s="163" t="str">
        <f>IFERROR(VLOOKUP(C572,元件库!$B:$O,3,FALSE),"")</f>
        <v>带电显示器</v>
      </c>
      <c r="C572" s="164" t="s">
        <v>1897</v>
      </c>
      <c r="D572" s="165" t="str">
        <f>IFERROR(VLOOKUP(C572,元件库!$B:$O,2,FALSE),"")</f>
        <v>江山鑫源</v>
      </c>
      <c r="E572" s="166" t="str">
        <f>IF(D572="欣利铜材","米",IF(B572="氧化锌避雷器","组","只"))</f>
        <v>只</v>
      </c>
      <c r="F572" s="166">
        <v>1</v>
      </c>
      <c r="G572" s="42">
        <f>IFERROR(J572*K572,"")</f>
        <v>33</v>
      </c>
      <c r="H572" s="42">
        <f>IFERROR(G572*F572,"")</f>
        <v>33</v>
      </c>
      <c r="I572" s="167"/>
      <c r="J572" s="168">
        <f>P$1</f>
        <v>1</v>
      </c>
      <c r="K572" s="169">
        <f>IFERROR(M572*L572,"")</f>
        <v>33</v>
      </c>
      <c r="L572" s="170">
        <f>IFERROR(VLOOKUP(C572,元件库!$B:$O,10,FALSE),"1.00")</f>
        <v>1</v>
      </c>
      <c r="M572" s="171">
        <f>IFERROR(VLOOKUP(C572,元件库!$B:$O,11,FALSE),"")</f>
        <v>33</v>
      </c>
      <c r="N572" s="172" t="str">
        <f t="shared" ca="1" si="209"/>
        <v/>
      </c>
      <c r="O572" s="157"/>
      <c r="W572" s="162"/>
    </row>
    <row r="573" spans="1:23" s="175" customFormat="1" ht="16.5" customHeight="1" x14ac:dyDescent="0.2">
      <c r="A573" s="38">
        <f>COUNTIF($J$1:J573,"!")</f>
        <v>36</v>
      </c>
      <c r="B573" s="163" t="str">
        <f>IFERROR(VLOOKUP(C573,元件库!$B:$O,3,FALSE),"")</f>
        <v>电磁锁</v>
      </c>
      <c r="C573" s="164" t="s">
        <v>98</v>
      </c>
      <c r="D573" s="165" t="str">
        <f>IFERROR(VLOOKUP(C573,元件库!$B:$O,2,FALSE),"")</f>
        <v>哈陆拉</v>
      </c>
      <c r="E573" s="166" t="str">
        <f>IF(D573="欣利铜材","米",IF(B573="氧化锌避雷器","组","只"))</f>
        <v>只</v>
      </c>
      <c r="F573" s="166">
        <v>1</v>
      </c>
      <c r="G573" s="42">
        <f>IFERROR(J573*K573,"")</f>
        <v>55</v>
      </c>
      <c r="H573" s="42">
        <f>IFERROR(G573*F573,"")</f>
        <v>55</v>
      </c>
      <c r="I573" s="167"/>
      <c r="J573" s="168">
        <f t="shared" ref="J573:J580" si="210">P$1</f>
        <v>1</v>
      </c>
      <c r="K573" s="169">
        <f>IFERROR(M573*L573,"")</f>
        <v>55</v>
      </c>
      <c r="L573" s="170">
        <f>IFERROR(VLOOKUP(C573,元件库!$B:$O,10,FALSE),"1.00")</f>
        <v>1</v>
      </c>
      <c r="M573" s="171">
        <f>IFERROR(VLOOKUP(C573,元件库!$B:$O,11,FALSE),"")</f>
        <v>55</v>
      </c>
      <c r="N573" s="172" t="str">
        <f t="shared" ca="1" si="209"/>
        <v/>
      </c>
      <c r="O573" s="157"/>
      <c r="W573" s="162"/>
    </row>
    <row r="574" spans="1:23" s="175" customFormat="1" ht="16.5" customHeight="1" x14ac:dyDescent="0.2">
      <c r="A574" s="38">
        <f>COUNTIF($J$1:J574,"!")</f>
        <v>36</v>
      </c>
      <c r="B574" s="163" t="str">
        <f>IFERROR(VLOOKUP(C574,元件库!$B:$O,3,FALSE),"")</f>
        <v>温湿度控制器</v>
      </c>
      <c r="C574" s="164" t="s">
        <v>153</v>
      </c>
      <c r="D574" s="165" t="str">
        <f>IFERROR(VLOOKUP(C574,元件库!$B:$O,2,FALSE),"")</f>
        <v>实德电气</v>
      </c>
      <c r="E574" s="166" t="str">
        <f t="shared" ref="E574:E580" si="211">IF(D574="欣利铜材","米",IF(B574="氧化锌避雷器","组","只"))</f>
        <v>只</v>
      </c>
      <c r="F574" s="166">
        <v>1</v>
      </c>
      <c r="G574" s="42">
        <f t="shared" ref="G574:G580" si="212">IFERROR(J574*K574,"")</f>
        <v>110</v>
      </c>
      <c r="H574" s="42">
        <f t="shared" ref="H574:H580" si="213">IFERROR(G574*F574,"")</f>
        <v>110</v>
      </c>
      <c r="I574" s="167"/>
      <c r="J574" s="168">
        <f t="shared" si="210"/>
        <v>1</v>
      </c>
      <c r="K574" s="169">
        <f t="shared" ref="K574:K580" si="214">IFERROR(M574*L574,"")</f>
        <v>110</v>
      </c>
      <c r="L574" s="170">
        <f>IFERROR(VLOOKUP(C574,元件库!$B:$O,10,FALSE),"1.00")</f>
        <v>1</v>
      </c>
      <c r="M574" s="171">
        <f>IFERROR(VLOOKUP(C574,元件库!$B:$O,11,FALSE),"")</f>
        <v>110</v>
      </c>
      <c r="N574" s="172" t="str">
        <f t="shared" ca="1" si="209"/>
        <v/>
      </c>
      <c r="O574" s="157"/>
    </row>
    <row r="575" spans="1:23" s="175" customFormat="1" ht="16.5" customHeight="1" x14ac:dyDescent="0.2">
      <c r="A575" s="38">
        <f>COUNTIF($J$1:J575,"!")</f>
        <v>36</v>
      </c>
      <c r="B575" s="163" t="str">
        <f>IFERROR(VLOOKUP(C575,元件库!$B:$O,3,FALSE),"")</f>
        <v>加热器</v>
      </c>
      <c r="C575" s="164" t="s">
        <v>101</v>
      </c>
      <c r="D575" s="165" t="str">
        <f>IFERROR(VLOOKUP(C575,元件库!$B:$O,2,FALSE),"")</f>
        <v>实德电气</v>
      </c>
      <c r="E575" s="166" t="str">
        <f t="shared" si="211"/>
        <v>只</v>
      </c>
      <c r="F575" s="166">
        <v>2</v>
      </c>
      <c r="G575" s="42">
        <f t="shared" si="212"/>
        <v>18</v>
      </c>
      <c r="H575" s="42">
        <f t="shared" si="213"/>
        <v>36</v>
      </c>
      <c r="I575" s="167"/>
      <c r="J575" s="168">
        <f t="shared" si="210"/>
        <v>1</v>
      </c>
      <c r="K575" s="169">
        <f t="shared" si="214"/>
        <v>18</v>
      </c>
      <c r="L575" s="170">
        <f>IFERROR(VLOOKUP(C575,元件库!$B:$O,10,FALSE),"1.00")</f>
        <v>1</v>
      </c>
      <c r="M575" s="171">
        <f>IFERROR(VLOOKUP(C575,元件库!$B:$O,11,FALSE),"")</f>
        <v>18</v>
      </c>
      <c r="N575" s="172" t="str">
        <f t="shared" ca="1" si="209"/>
        <v/>
      </c>
      <c r="O575" s="157"/>
    </row>
    <row r="576" spans="1:23" s="175" customFormat="1" ht="16.5" customHeight="1" x14ac:dyDescent="0.2">
      <c r="A576" s="38">
        <f>COUNTIF($J$1:J576,"!")</f>
        <v>36</v>
      </c>
      <c r="B576" s="163" t="str">
        <f>IFERROR(VLOOKUP(C576,元件库!$B:$O,3,FALSE),"")</f>
        <v>高压热缩管</v>
      </c>
      <c r="C576" s="185" t="str">
        <f>"10KV"&amp;MID(C579,4,10)</f>
        <v>10KV-60*6</v>
      </c>
      <c r="D576" s="165" t="str">
        <f>IFERROR(VLOOKUP(C576,元件库!$B:$O,2,FALSE),"")</f>
        <v>精益联合集团</v>
      </c>
      <c r="E576" s="166" t="str">
        <f t="shared" si="211"/>
        <v>只</v>
      </c>
      <c r="F576" s="166">
        <f>ROUND(SUM(F579:F580),0)</f>
        <v>2</v>
      </c>
      <c r="G576" s="42">
        <f t="shared" si="212"/>
        <v>12</v>
      </c>
      <c r="H576" s="42">
        <f t="shared" si="213"/>
        <v>24</v>
      </c>
      <c r="I576" s="167"/>
      <c r="J576" s="168">
        <f t="shared" si="210"/>
        <v>1</v>
      </c>
      <c r="K576" s="169">
        <f t="shared" si="214"/>
        <v>12</v>
      </c>
      <c r="L576" s="170">
        <f>IFERROR(VLOOKUP(C576,元件库!$B:$O,10,FALSE),"1.00")</f>
        <v>1</v>
      </c>
      <c r="M576" s="171">
        <f>IFERROR(VLOOKUP(C576,元件库!$B:$O,11,FALSE),"")</f>
        <v>12</v>
      </c>
      <c r="N576" s="172" t="str">
        <f t="shared" ca="1" si="209"/>
        <v/>
      </c>
      <c r="O576" s="157"/>
    </row>
    <row r="577" spans="1:23" s="175" customFormat="1" ht="16.5" customHeight="1" x14ac:dyDescent="0.2">
      <c r="A577" s="38">
        <f>COUNTIF($J$1:J577,"!")</f>
        <v>36</v>
      </c>
      <c r="B577" s="163" t="str">
        <f>IFERROR(VLOOKUP(C577,元件库!$B:$O,3,FALSE),"")</f>
        <v>铜排</v>
      </c>
      <c r="C577" s="185" t="s">
        <v>1889</v>
      </c>
      <c r="D577" s="165" t="str">
        <f>IFERROR(VLOOKUP(C577,元件库!$B:$O,2,FALSE),"")</f>
        <v>欣利铜材</v>
      </c>
      <c r="E577" s="166" t="str">
        <f t="shared" si="211"/>
        <v>米</v>
      </c>
      <c r="F577" s="166">
        <v>6</v>
      </c>
      <c r="G577" s="42">
        <f t="shared" si="212"/>
        <v>182.62799999999999</v>
      </c>
      <c r="H577" s="42">
        <f t="shared" si="213"/>
        <v>1095.768</v>
      </c>
      <c r="I577" s="167"/>
      <c r="J577" s="168">
        <f t="shared" si="210"/>
        <v>1</v>
      </c>
      <c r="K577" s="169">
        <f t="shared" si="214"/>
        <v>182.62799999999999</v>
      </c>
      <c r="L577" s="170">
        <f>IFERROR(VLOOKUP(C577,元件库!$B:$O,10,FALSE),"1.00")</f>
        <v>1</v>
      </c>
      <c r="M577" s="171">
        <f>IFERROR(VLOOKUP(C577,元件库!$B:$O,11,FALSE),"")</f>
        <v>182.62799999999999</v>
      </c>
      <c r="N577" s="172" t="str">
        <f t="shared" ca="1" si="209"/>
        <v/>
      </c>
      <c r="O577" s="174" t="str">
        <f>O580</f>
        <v>HXGN-500*900*2000</v>
      </c>
    </row>
    <row r="578" spans="1:23" s="175" customFormat="1" ht="16.5" customHeight="1" x14ac:dyDescent="0.2">
      <c r="A578" s="38">
        <f>COUNTIF($J$1:J578,"!")</f>
        <v>36</v>
      </c>
      <c r="B578" s="163" t="str">
        <f>IFERROR(VLOOKUP(C578,元件库!$B:$O,3,FALSE),"")</f>
        <v>铜排</v>
      </c>
      <c r="C578" s="185" t="s">
        <v>1910</v>
      </c>
      <c r="D578" s="165" t="str">
        <f>IFERROR(VLOOKUP(C578,元件库!$B:$O,2,FALSE),"")</f>
        <v>欣利铜材</v>
      </c>
      <c r="E578" s="166" t="str">
        <f t="shared" si="211"/>
        <v>米</v>
      </c>
      <c r="F578" s="166">
        <v>3</v>
      </c>
      <c r="G578" s="42">
        <f t="shared" si="212"/>
        <v>45.656999999999996</v>
      </c>
      <c r="H578" s="42">
        <f t="shared" si="213"/>
        <v>136.971</v>
      </c>
      <c r="I578" s="167"/>
      <c r="J578" s="168">
        <f t="shared" si="210"/>
        <v>1</v>
      </c>
      <c r="K578" s="169">
        <f t="shared" si="214"/>
        <v>45.656999999999996</v>
      </c>
      <c r="L578" s="170">
        <f>IFERROR(VLOOKUP(C578,元件库!$B:$O,10,FALSE),"1.00")</f>
        <v>1</v>
      </c>
      <c r="M578" s="171">
        <f>IFERROR(VLOOKUP(C578,元件库!$B:$O,11,FALSE),"")</f>
        <v>45.656999999999996</v>
      </c>
      <c r="N578" s="172" t="str">
        <f t="shared" ca="1" si="209"/>
        <v/>
      </c>
      <c r="O578" s="174">
        <f>O581</f>
        <v>0</v>
      </c>
    </row>
    <row r="579" spans="1:23" s="175" customFormat="1" ht="16.5" customHeight="1" x14ac:dyDescent="0.2">
      <c r="A579" s="38">
        <f>COUNTIF($J$1:J579,"!")</f>
        <v>36</v>
      </c>
      <c r="B579" s="163" t="s">
        <v>2171</v>
      </c>
      <c r="C579" s="185" t="s">
        <v>1889</v>
      </c>
      <c r="D579" s="165" t="str">
        <f>IFERROR(VLOOKUP(C579,元件库!$B:$O,2,FALSE),"")</f>
        <v>欣利铜材</v>
      </c>
      <c r="E579" s="166" t="str">
        <f t="shared" si="211"/>
        <v>米</v>
      </c>
      <c r="F579" s="166">
        <f>1*MID(O579,FIND("-",O579)+1,FIND("*",O579)-FIND("-",O579)-1)/1000*IF(B579="水平排",3,1)+IF(AND(B579="零母排",VLOOKUP(A579,A$1:B575,2,FALSE)="低压进线柜"),1.5,0)</f>
        <v>1.5</v>
      </c>
      <c r="G579" s="42">
        <f t="shared" si="212"/>
        <v>182.62799999999999</v>
      </c>
      <c r="H579" s="42">
        <f t="shared" si="213"/>
        <v>273.94200000000001</v>
      </c>
      <c r="I579" s="167"/>
      <c r="J579" s="168">
        <f t="shared" si="210"/>
        <v>1</v>
      </c>
      <c r="K579" s="169">
        <f t="shared" si="214"/>
        <v>182.62799999999999</v>
      </c>
      <c r="L579" s="170">
        <f>IFERROR(VLOOKUP(C579,元件库!$B:$O,10,FALSE),"1.00")</f>
        <v>1</v>
      </c>
      <c r="M579" s="171">
        <f>IFERROR(VLOOKUP(C579,元件库!$B:$O,11,FALSE),"")</f>
        <v>182.62799999999999</v>
      </c>
      <c r="N579" s="172" t="str">
        <f t="shared" ca="1" si="209"/>
        <v/>
      </c>
      <c r="O579" s="174" t="str">
        <f>O582</f>
        <v>HXGN-500*900*2000</v>
      </c>
    </row>
    <row r="580" spans="1:23" s="175" customFormat="1" ht="16.5" customHeight="1" x14ac:dyDescent="0.2">
      <c r="A580" s="38">
        <f>COUNTIF($J$1:J580,"!")</f>
        <v>36</v>
      </c>
      <c r="B580" s="163" t="s">
        <v>2172</v>
      </c>
      <c r="C580" s="185" t="s">
        <v>2326</v>
      </c>
      <c r="D580" s="165" t="str">
        <f>IFERROR(VLOOKUP(C580,元件库!$B:$O,2,FALSE),"")</f>
        <v>欣利铜材</v>
      </c>
      <c r="E580" s="166" t="str">
        <f t="shared" si="211"/>
        <v>米</v>
      </c>
      <c r="F580" s="166">
        <f>1*MID(O580,FIND("-",O580)+1,FIND("*",O580)-FIND("-",O580)-1)/1000*IF(B580="水平排",3,1)+IF(AND(B580="零母排",VLOOKUP(A580,A$1:B576,2,FALSE)="低压进线柜"),1.5,0)</f>
        <v>0.5</v>
      </c>
      <c r="G580" s="42">
        <f t="shared" si="212"/>
        <v>81.167999999999992</v>
      </c>
      <c r="H580" s="42">
        <f t="shared" si="213"/>
        <v>40.583999999999996</v>
      </c>
      <c r="I580" s="167"/>
      <c r="J580" s="168">
        <f t="shared" si="210"/>
        <v>1</v>
      </c>
      <c r="K580" s="169">
        <f t="shared" si="214"/>
        <v>81.167999999999992</v>
      </c>
      <c r="L580" s="170">
        <f>IFERROR(VLOOKUP(C580,元件库!$B:$O,10,FALSE),"1.00")</f>
        <v>1</v>
      </c>
      <c r="M580" s="171">
        <f>IFERROR(VLOOKUP(C580,元件库!$B:$O,11,FALSE),"")</f>
        <v>81.167999999999992</v>
      </c>
      <c r="N580" s="172" t="str">
        <f t="shared" ca="1" si="209"/>
        <v/>
      </c>
      <c r="O580" s="174" t="str">
        <f>O583</f>
        <v>HXGN-500*900*2000</v>
      </c>
    </row>
    <row r="581" spans="1:23" s="162" customFormat="1" ht="16.5" customHeight="1" x14ac:dyDescent="0.2">
      <c r="A581" s="38">
        <f>COUNTIF($J$1:J581,"!")</f>
        <v>36</v>
      </c>
      <c r="B581" s="177" t="s">
        <v>107</v>
      </c>
      <c r="C581" s="164"/>
      <c r="D581" s="166"/>
      <c r="E581" s="166"/>
      <c r="F581" s="166"/>
      <c r="G581" s="42"/>
      <c r="H581" s="42"/>
      <c r="I581" s="178">
        <f>SUM(H564:H581)</f>
        <v>5946.5149999999994</v>
      </c>
      <c r="J581" s="168"/>
      <c r="K581" s="169"/>
      <c r="L581" s="170"/>
      <c r="M581" s="171"/>
      <c r="O581" s="161"/>
      <c r="P581" s="157"/>
    </row>
    <row r="582" spans="1:23" ht="16.5" customHeight="1" x14ac:dyDescent="0.2">
      <c r="A582" s="38">
        <f>COUNTIF($J$1:J582,"!")</f>
        <v>36</v>
      </c>
      <c r="B582" s="179" t="s">
        <v>47</v>
      </c>
      <c r="C582" s="164"/>
      <c r="D582" s="166"/>
      <c r="E582" s="166"/>
      <c r="F582" s="166"/>
      <c r="G582" s="42"/>
      <c r="H582" s="42">
        <f>IFERROR(J582*M582*L582,"")</f>
        <v>400</v>
      </c>
      <c r="I582" s="167"/>
      <c r="J582" s="168">
        <f>P$1</f>
        <v>1</v>
      </c>
      <c r="K582" s="169">
        <f t="shared" ref="K582:K583" si="215">IFERROR(M582*L582,"")</f>
        <v>400</v>
      </c>
      <c r="L582" s="170" t="str">
        <f>IFERROR(VLOOKUP(C582,元件库!$B:$O,10,FALSE),"1.00")</f>
        <v>1.00</v>
      </c>
      <c r="M582" s="171">
        <v>400</v>
      </c>
      <c r="O582" s="180" t="str">
        <f>C564</f>
        <v>HXGN-500*900*2000</v>
      </c>
      <c r="P582" s="162"/>
      <c r="R582" s="157"/>
      <c r="S582" s="157"/>
    </row>
    <row r="583" spans="1:23" s="161" customFormat="1" ht="16.5" customHeight="1" x14ac:dyDescent="0.2">
      <c r="A583" s="38">
        <f>COUNTIF($J$1:J583,"!")</f>
        <v>36</v>
      </c>
      <c r="B583" s="179" t="s">
        <v>49</v>
      </c>
      <c r="C583" s="164"/>
      <c r="D583" s="166"/>
      <c r="E583" s="166"/>
      <c r="F583" s="166"/>
      <c r="G583" s="42"/>
      <c r="H583" s="42">
        <f>IFERROR(J583*M583*L583,"")</f>
        <v>200</v>
      </c>
      <c r="I583" s="167"/>
      <c r="J583" s="168">
        <f>P$1</f>
        <v>1</v>
      </c>
      <c r="K583" s="169">
        <f t="shared" si="215"/>
        <v>200</v>
      </c>
      <c r="L583" s="170" t="str">
        <f>IFERROR(VLOOKUP(C583,元件库!$B:$O,10,FALSE),"1.00")</f>
        <v>1.00</v>
      </c>
      <c r="M583" s="171">
        <v>200</v>
      </c>
      <c r="O583" s="174" t="str">
        <f>O582</f>
        <v>HXGN-500*900*2000</v>
      </c>
      <c r="P583" s="162"/>
      <c r="Q583" s="162"/>
    </row>
    <row r="584" spans="1:23" s="161" customFormat="1" ht="16.5" customHeight="1" x14ac:dyDescent="0.2">
      <c r="A584" s="38">
        <f>COUNTIF($J$1:J584,"!")</f>
        <v>36</v>
      </c>
      <c r="B584" s="179" t="s">
        <v>79</v>
      </c>
      <c r="C584" s="164"/>
      <c r="D584" s="166"/>
      <c r="E584" s="166"/>
      <c r="F584" s="166"/>
      <c r="G584" s="42"/>
      <c r="H584" s="42">
        <f>K584*L584</f>
        <v>785.58179999999993</v>
      </c>
      <c r="I584" s="167"/>
      <c r="J584" s="168"/>
      <c r="K584" s="169">
        <f>SUM(H582:H583)+I581</f>
        <v>6546.5149999999994</v>
      </c>
      <c r="L584" s="279">
        <f>R$1</f>
        <v>0.12</v>
      </c>
      <c r="M584" s="171"/>
      <c r="O584" s="181"/>
      <c r="P584" s="162"/>
      <c r="Q584" s="162"/>
    </row>
    <row r="585" spans="1:23" ht="16.5" customHeight="1" x14ac:dyDescent="0.2">
      <c r="A585" s="38">
        <f>COUNTIF($J$1:J585,"!")</f>
        <v>36</v>
      </c>
      <c r="B585" s="179" t="s">
        <v>108</v>
      </c>
      <c r="C585" s="164"/>
      <c r="D585" s="166"/>
      <c r="E585" s="166"/>
      <c r="F585" s="166"/>
      <c r="G585" s="184"/>
      <c r="H585" s="42">
        <f>K585*L585</f>
        <v>219.96290399999998</v>
      </c>
      <c r="I585" s="167"/>
      <c r="J585" s="168"/>
      <c r="K585" s="169">
        <f>H584+K584</f>
        <v>7332.0967999999993</v>
      </c>
      <c r="L585" s="279">
        <f>T$1</f>
        <v>0.03</v>
      </c>
      <c r="M585" s="171"/>
      <c r="O585" s="161"/>
      <c r="P585" s="162"/>
      <c r="R585" s="157"/>
      <c r="S585" s="157"/>
    </row>
    <row r="586" spans="1:23" s="162" customFormat="1" ht="16.5" customHeight="1" x14ac:dyDescent="0.15">
      <c r="A586" s="32">
        <f>COUNTIF($J$1:J586,"!")</f>
        <v>37</v>
      </c>
      <c r="B586" s="33" t="s">
        <v>1886</v>
      </c>
      <c r="C586" s="296" t="s">
        <v>3168</v>
      </c>
      <c r="D586" s="159" t="s">
        <v>3167</v>
      </c>
      <c r="E586" s="34" t="s">
        <v>23</v>
      </c>
      <c r="F586" s="159">
        <v>1</v>
      </c>
      <c r="G586" s="36">
        <f>ROUND(SUM(H587:H605),0)</f>
        <v>6671</v>
      </c>
      <c r="H586" s="160" t="str">
        <f>IF(ISNUMBER(FIND(" ",C587)),MID(C587,1,FIND(" ",C587)-1),IF(ISNUMBER(FIND("电容柜",B586)),"GGJ",MID(C587,1,FIND("-",C587)-1)))</f>
        <v>HXGN</v>
      </c>
      <c r="I586" s="47" t="str">
        <f>MID(C587,IF(LEN(C587)-LEN(H586)&gt;3,LEN(H586)+2,1),30)</f>
        <v>800*900*2000</v>
      </c>
      <c r="J586" s="48" t="s">
        <v>24</v>
      </c>
      <c r="K586" s="49"/>
      <c r="L586" s="50"/>
      <c r="M586" s="51"/>
      <c r="N586" s="172"/>
      <c r="O586" s="161"/>
    </row>
    <row r="587" spans="1:23" s="162" customFormat="1" ht="16.5" customHeight="1" x14ac:dyDescent="0.2">
      <c r="A587" s="38">
        <f>COUNTIF($J$1:J587,"!")</f>
        <v>37</v>
      </c>
      <c r="B587" s="163" t="str">
        <f>IFERROR(VLOOKUP(C587,元件库!$B:$O,3,FALSE),"")</f>
        <v>壳体W*D*H</v>
      </c>
      <c r="C587" s="164" t="s">
        <v>3122</v>
      </c>
      <c r="D587" s="165" t="str">
        <f>IFERROR(VLOOKUP(C587,元件库!$B:$O,2,FALSE),"")</f>
        <v>精益联合集团</v>
      </c>
      <c r="E587" s="166" t="str">
        <f t="shared" ref="E587:E592" si="216">IF(D587="欣利铜材","米",IF(B587="氧化锌避雷器","组","只"))</f>
        <v>只</v>
      </c>
      <c r="F587" s="166">
        <v>1</v>
      </c>
      <c r="G587" s="42">
        <f t="shared" ref="G587:G592" si="217">IFERROR(J587*K587,"")</f>
        <v>1800</v>
      </c>
      <c r="H587" s="42">
        <f t="shared" ref="H587:H592" si="218">IFERROR(G587*F587,"")</f>
        <v>1800</v>
      </c>
      <c r="I587" s="167"/>
      <c r="J587" s="168">
        <f t="shared" ref="J587:J592" si="219">P$1</f>
        <v>1</v>
      </c>
      <c r="K587" s="169">
        <f t="shared" ref="K587:K592" si="220">IFERROR(M587*L587,"")</f>
        <v>1800</v>
      </c>
      <c r="L587" s="170">
        <f>IFERROR(VLOOKUP(C587,元件库!$B:$O,10,FALSE),"1.00")</f>
        <v>1</v>
      </c>
      <c r="M587" s="171">
        <f>IFERROR(VLOOKUP(C587,元件库!$B:$O,11,FALSE),"")</f>
        <v>1800</v>
      </c>
      <c r="N587" s="172" t="str">
        <f t="shared" ref="N587:N600" ca="1" si="221">IF(AND(ISNUMBER(FIND("IF",_xlfn.FORMULATEXT(L587))),ISNUMBER(FIND("IF",_xlfn.FORMULATEXT(M587)))),"","值")</f>
        <v/>
      </c>
      <c r="O587" s="157"/>
      <c r="P587" s="157"/>
    </row>
    <row r="588" spans="1:23" s="175" customFormat="1" ht="16.5" customHeight="1" x14ac:dyDescent="0.2">
      <c r="A588" s="38">
        <f>COUNTIF($J$1:J588,"!")</f>
        <v>37</v>
      </c>
      <c r="B588" s="163" t="str">
        <f>IFERROR(VLOOKUP(C588,元件库!$B:$O,3,FALSE),"")</f>
        <v/>
      </c>
      <c r="C588" s="164" t="s">
        <v>861</v>
      </c>
      <c r="D588" s="165" t="str">
        <f>IFERROR(VLOOKUP(C588,元件库!$B:$O,2,FALSE),"")</f>
        <v/>
      </c>
      <c r="E588" s="166" t="str">
        <f t="shared" si="216"/>
        <v>只</v>
      </c>
      <c r="F588" s="166">
        <v>1</v>
      </c>
      <c r="G588" s="42" t="str">
        <f t="shared" si="217"/>
        <v/>
      </c>
      <c r="H588" s="42" t="str">
        <f t="shared" si="218"/>
        <v/>
      </c>
      <c r="I588" s="167"/>
      <c r="J588" s="168">
        <f t="shared" si="219"/>
        <v>1</v>
      </c>
      <c r="K588" s="169" t="str">
        <f t="shared" si="220"/>
        <v/>
      </c>
      <c r="L588" s="170" t="str">
        <f>IFERROR(VLOOKUP(C588,元件库!$B:$O,10,FALSE),"1.00")</f>
        <v>1.00</v>
      </c>
      <c r="M588" s="171" t="str">
        <f>IFERROR(VLOOKUP(C588,元件库!$B:$O,11,FALSE),"")</f>
        <v/>
      </c>
      <c r="N588" s="172" t="str">
        <f t="shared" ca="1" si="221"/>
        <v/>
      </c>
      <c r="O588" s="157"/>
      <c r="W588" s="162"/>
    </row>
    <row r="589" spans="1:23" s="175" customFormat="1" ht="16.5" customHeight="1" x14ac:dyDescent="0.2">
      <c r="A589" s="38">
        <f>COUNTIF($J$1:J589,"!")</f>
        <v>37</v>
      </c>
      <c r="B589" s="163" t="str">
        <f>IFERROR(VLOOKUP(C589,元件库!$B:$O,3,FALSE),"")</f>
        <v>高压熔断器</v>
      </c>
      <c r="C589" s="164" t="s">
        <v>3123</v>
      </c>
      <c r="D589" s="165" t="str">
        <f>IFERROR(VLOOKUP(C589,元件库!$B:$O,2,FALSE),"")</f>
        <v>上海智广</v>
      </c>
      <c r="E589" s="166" t="str">
        <f t="shared" si="216"/>
        <v>只</v>
      </c>
      <c r="F589" s="166">
        <v>3</v>
      </c>
      <c r="G589" s="42">
        <f t="shared" si="217"/>
        <v>140</v>
      </c>
      <c r="H589" s="42">
        <f t="shared" si="218"/>
        <v>420</v>
      </c>
      <c r="I589" s="167"/>
      <c r="J589" s="168">
        <f t="shared" si="219"/>
        <v>1</v>
      </c>
      <c r="K589" s="169">
        <f t="shared" si="220"/>
        <v>140</v>
      </c>
      <c r="L589" s="170">
        <f>IFERROR(VLOOKUP(C589,元件库!$B:$O,10,FALSE),"1.00")</f>
        <v>1</v>
      </c>
      <c r="M589" s="171">
        <f>IFERROR(VLOOKUP(C589,元件库!$B:$O,11,FALSE),"")</f>
        <v>140</v>
      </c>
      <c r="N589" s="172" t="str">
        <f t="shared" ca="1" si="221"/>
        <v/>
      </c>
      <c r="O589" s="157"/>
      <c r="W589" s="162"/>
    </row>
    <row r="590" spans="1:23" s="175" customFormat="1" ht="16.5" customHeight="1" x14ac:dyDescent="0.2">
      <c r="A590" s="38">
        <f>COUNTIF($J$1:J590,"!")</f>
        <v>37</v>
      </c>
      <c r="B590" s="163" t="str">
        <f>IFERROR(VLOOKUP(C590,元件库!$B:$O,3,FALSE),"")</f>
        <v>穿墙套管</v>
      </c>
      <c r="C590" s="164" t="s">
        <v>135</v>
      </c>
      <c r="D590" s="165" t="str">
        <f>IFERROR(VLOOKUP(C590,元件库!$B:$O,2,FALSE),"")</f>
        <v>福一开</v>
      </c>
      <c r="E590" s="166" t="str">
        <f t="shared" si="216"/>
        <v>只</v>
      </c>
      <c r="F590" s="166">
        <v>3</v>
      </c>
      <c r="G590" s="42">
        <f t="shared" si="217"/>
        <v>45</v>
      </c>
      <c r="H590" s="42">
        <f t="shared" si="218"/>
        <v>135</v>
      </c>
      <c r="I590" s="167"/>
      <c r="J590" s="168">
        <f t="shared" si="219"/>
        <v>1</v>
      </c>
      <c r="K590" s="169">
        <f t="shared" si="220"/>
        <v>45</v>
      </c>
      <c r="L590" s="170">
        <f>IFERROR(VLOOKUP(C590,元件库!$B:$O,10,FALSE),"1.00")</f>
        <v>1</v>
      </c>
      <c r="M590" s="171">
        <f>IFERROR(VLOOKUP(C590,元件库!$B:$O,11,FALSE),"")</f>
        <v>45</v>
      </c>
      <c r="N590" s="172" t="str">
        <f t="shared" ca="1" si="221"/>
        <v/>
      </c>
      <c r="O590" s="157"/>
      <c r="W590" s="162"/>
    </row>
    <row r="591" spans="1:23" s="175" customFormat="1" ht="16.5" customHeight="1" x14ac:dyDescent="0.2">
      <c r="A591" s="38">
        <f>COUNTIF($J$1:J591,"!")</f>
        <v>37</v>
      </c>
      <c r="B591" s="163" t="str">
        <f>IFERROR(VLOOKUP(C591,元件库!$B:$O,3,FALSE),"")</f>
        <v>支柱绝缘子</v>
      </c>
      <c r="C591" s="164" t="s">
        <v>136</v>
      </c>
      <c r="D591" s="165" t="str">
        <f>IFERROR(VLOOKUP(C591,元件库!$B:$O,2,FALSE),"")</f>
        <v>福一开</v>
      </c>
      <c r="E591" s="166" t="str">
        <f t="shared" si="216"/>
        <v>只</v>
      </c>
      <c r="F591" s="166">
        <v>3</v>
      </c>
      <c r="G591" s="42">
        <f t="shared" si="217"/>
        <v>22</v>
      </c>
      <c r="H591" s="42">
        <f t="shared" si="218"/>
        <v>66</v>
      </c>
      <c r="I591" s="167"/>
      <c r="J591" s="168">
        <f t="shared" si="219"/>
        <v>1</v>
      </c>
      <c r="K591" s="169">
        <f t="shared" si="220"/>
        <v>22</v>
      </c>
      <c r="L591" s="170">
        <f>IFERROR(VLOOKUP(C591,元件库!$B:$O,10,FALSE),"1.00")</f>
        <v>1</v>
      </c>
      <c r="M591" s="171">
        <f>IFERROR(VLOOKUP(C591,元件库!$B:$O,11,FALSE),"")</f>
        <v>22</v>
      </c>
      <c r="N591" s="172" t="str">
        <f t="shared" ca="1" si="221"/>
        <v/>
      </c>
      <c r="O591" s="157"/>
      <c r="W591" s="162"/>
    </row>
    <row r="592" spans="1:23" s="175" customFormat="1" ht="16.5" customHeight="1" x14ac:dyDescent="0.2">
      <c r="A592" s="38">
        <f>COUNTIF($J$1:J592,"!")</f>
        <v>37</v>
      </c>
      <c r="B592" s="163" t="str">
        <f>IFERROR(VLOOKUP(C592,元件库!$B:$O,3,FALSE),"")</f>
        <v>电压传感器</v>
      </c>
      <c r="C592" s="164" t="s">
        <v>137</v>
      </c>
      <c r="D592" s="165" t="str">
        <f>IFERROR(VLOOKUP(C592,元件库!$B:$O,2,FALSE),"")</f>
        <v>福一开</v>
      </c>
      <c r="E592" s="166" t="str">
        <f t="shared" si="216"/>
        <v>只</v>
      </c>
      <c r="F592" s="166">
        <v>1</v>
      </c>
      <c r="G592" s="42">
        <f t="shared" si="217"/>
        <v>93</v>
      </c>
      <c r="H592" s="42">
        <f t="shared" si="218"/>
        <v>93</v>
      </c>
      <c r="I592" s="167"/>
      <c r="J592" s="168">
        <f t="shared" si="219"/>
        <v>1</v>
      </c>
      <c r="K592" s="169">
        <f t="shared" si="220"/>
        <v>93</v>
      </c>
      <c r="L592" s="170">
        <f>IFERROR(VLOOKUP(C592,元件库!$B:$O,10,FALSE),"1.00")</f>
        <v>1</v>
      </c>
      <c r="M592" s="171">
        <f>IFERROR(VLOOKUP(C592,元件库!$B:$O,11,FALSE),"")</f>
        <v>93</v>
      </c>
      <c r="N592" s="172" t="str">
        <f t="shared" ca="1" si="221"/>
        <v/>
      </c>
      <c r="O592" s="157"/>
      <c r="W592" s="162"/>
    </row>
    <row r="593" spans="1:23" s="175" customFormat="1" ht="16.5" customHeight="1" x14ac:dyDescent="0.2">
      <c r="A593" s="38">
        <f>COUNTIF($J$1:J593,"!")</f>
        <v>37</v>
      </c>
      <c r="B593" s="163" t="str">
        <f>IFERROR(VLOOKUP(C593,元件库!$B:$O,3,FALSE),"")</f>
        <v>带电显示器</v>
      </c>
      <c r="C593" s="164" t="s">
        <v>1897</v>
      </c>
      <c r="D593" s="165" t="str">
        <f>IFERROR(VLOOKUP(C593,元件库!$B:$O,2,FALSE),"")</f>
        <v>江山鑫源</v>
      </c>
      <c r="E593" s="166" t="str">
        <f>IF(D593="欣利铜材","米",IF(B593="氧化锌避雷器","组","只"))</f>
        <v>只</v>
      </c>
      <c r="F593" s="166">
        <v>1</v>
      </c>
      <c r="G593" s="42">
        <f>IFERROR(J593*K593,"")</f>
        <v>33</v>
      </c>
      <c r="H593" s="42">
        <f>IFERROR(G593*F593,"")</f>
        <v>33</v>
      </c>
      <c r="I593" s="167"/>
      <c r="J593" s="168">
        <f>P$1</f>
        <v>1</v>
      </c>
      <c r="K593" s="169">
        <f>IFERROR(M593*L593,"")</f>
        <v>33</v>
      </c>
      <c r="L593" s="170">
        <f>IFERROR(VLOOKUP(C593,元件库!$B:$O,10,FALSE),"1.00")</f>
        <v>1</v>
      </c>
      <c r="M593" s="171">
        <f>IFERROR(VLOOKUP(C593,元件库!$B:$O,11,FALSE),"")</f>
        <v>33</v>
      </c>
      <c r="N593" s="172" t="str">
        <f t="shared" ca="1" si="221"/>
        <v/>
      </c>
      <c r="O593" s="157"/>
      <c r="W593" s="162"/>
    </row>
    <row r="594" spans="1:23" s="175" customFormat="1" ht="16.5" customHeight="1" x14ac:dyDescent="0.2">
      <c r="A594" s="38">
        <f>COUNTIF($J$1:J594,"!")</f>
        <v>37</v>
      </c>
      <c r="B594" s="163" t="str">
        <f>IFERROR(VLOOKUP(C594,元件库!$B:$O,3,FALSE),"")</f>
        <v>电磁锁</v>
      </c>
      <c r="C594" s="164" t="s">
        <v>98</v>
      </c>
      <c r="D594" s="165" t="str">
        <f>IFERROR(VLOOKUP(C594,元件库!$B:$O,2,FALSE),"")</f>
        <v>哈陆拉</v>
      </c>
      <c r="E594" s="166" t="str">
        <f>IF(D594="欣利铜材","米",IF(B594="氧化锌避雷器","组","只"))</f>
        <v>只</v>
      </c>
      <c r="F594" s="166">
        <v>1</v>
      </c>
      <c r="G594" s="42">
        <f>IFERROR(J594*K594,"")</f>
        <v>55</v>
      </c>
      <c r="H594" s="42">
        <f>IFERROR(G594*F594,"")</f>
        <v>55</v>
      </c>
      <c r="I594" s="167"/>
      <c r="J594" s="168">
        <f t="shared" ref="J594:J600" si="222">P$1</f>
        <v>1</v>
      </c>
      <c r="K594" s="169">
        <f>IFERROR(M594*L594,"")</f>
        <v>55</v>
      </c>
      <c r="L594" s="170">
        <f>IFERROR(VLOOKUP(C594,元件库!$B:$O,10,FALSE),"1.00")</f>
        <v>1</v>
      </c>
      <c r="M594" s="171">
        <f>IFERROR(VLOOKUP(C594,元件库!$B:$O,11,FALSE),"")</f>
        <v>55</v>
      </c>
      <c r="N594" s="172" t="str">
        <f t="shared" ca="1" si="221"/>
        <v/>
      </c>
      <c r="O594" s="157"/>
      <c r="W594" s="162"/>
    </row>
    <row r="595" spans="1:23" s="175" customFormat="1" ht="16.5" customHeight="1" x14ac:dyDescent="0.2">
      <c r="A595" s="38">
        <f>COUNTIF($J$1:J595,"!")</f>
        <v>37</v>
      </c>
      <c r="B595" s="163" t="str">
        <f>IFERROR(VLOOKUP(C595,元件库!$B:$O,3,FALSE),"")</f>
        <v>温湿度控制器</v>
      </c>
      <c r="C595" s="164" t="s">
        <v>153</v>
      </c>
      <c r="D595" s="165" t="str">
        <f>IFERROR(VLOOKUP(C595,元件库!$B:$O,2,FALSE),"")</f>
        <v>实德电气</v>
      </c>
      <c r="E595" s="166" t="str">
        <f t="shared" ref="E595:E600" si="223">IF(D595="欣利铜材","米",IF(B595="氧化锌避雷器","组","只"))</f>
        <v>只</v>
      </c>
      <c r="F595" s="166">
        <v>1</v>
      </c>
      <c r="G595" s="42">
        <f t="shared" ref="G595:G600" si="224">IFERROR(J595*K595,"")</f>
        <v>110</v>
      </c>
      <c r="H595" s="42">
        <f t="shared" ref="H595:H600" si="225">IFERROR(G595*F595,"")</f>
        <v>110</v>
      </c>
      <c r="I595" s="167"/>
      <c r="J595" s="168">
        <f t="shared" si="222"/>
        <v>1</v>
      </c>
      <c r="K595" s="169">
        <f t="shared" ref="K595:K600" si="226">IFERROR(M595*L595,"")</f>
        <v>110</v>
      </c>
      <c r="L595" s="170">
        <f>IFERROR(VLOOKUP(C595,元件库!$B:$O,10,FALSE),"1.00")</f>
        <v>1</v>
      </c>
      <c r="M595" s="171">
        <f>IFERROR(VLOOKUP(C595,元件库!$B:$O,11,FALSE),"")</f>
        <v>110</v>
      </c>
      <c r="N595" s="172" t="str">
        <f t="shared" ca="1" si="221"/>
        <v/>
      </c>
      <c r="O595" s="157"/>
    </row>
    <row r="596" spans="1:23" s="175" customFormat="1" ht="16.5" customHeight="1" x14ac:dyDescent="0.2">
      <c r="A596" s="38">
        <f>COUNTIF($J$1:J596,"!")</f>
        <v>37</v>
      </c>
      <c r="B596" s="163" t="str">
        <f>IFERROR(VLOOKUP(C596,元件库!$B:$O,3,FALSE),"")</f>
        <v>加热器</v>
      </c>
      <c r="C596" s="164" t="s">
        <v>101</v>
      </c>
      <c r="D596" s="165" t="str">
        <f>IFERROR(VLOOKUP(C596,元件库!$B:$O,2,FALSE),"")</f>
        <v>实德电气</v>
      </c>
      <c r="E596" s="166" t="str">
        <f t="shared" si="223"/>
        <v>只</v>
      </c>
      <c r="F596" s="166">
        <v>2</v>
      </c>
      <c r="G596" s="42">
        <f t="shared" si="224"/>
        <v>18</v>
      </c>
      <c r="H596" s="42">
        <f t="shared" si="225"/>
        <v>36</v>
      </c>
      <c r="I596" s="167"/>
      <c r="J596" s="168">
        <f t="shared" si="222"/>
        <v>1</v>
      </c>
      <c r="K596" s="169">
        <f t="shared" si="226"/>
        <v>18</v>
      </c>
      <c r="L596" s="170">
        <f>IFERROR(VLOOKUP(C596,元件库!$B:$O,10,FALSE),"1.00")</f>
        <v>1</v>
      </c>
      <c r="M596" s="171">
        <f>IFERROR(VLOOKUP(C596,元件库!$B:$O,11,FALSE),"")</f>
        <v>18</v>
      </c>
      <c r="N596" s="172" t="str">
        <f t="shared" ca="1" si="221"/>
        <v/>
      </c>
      <c r="O596" s="157"/>
    </row>
    <row r="597" spans="1:23" s="175" customFormat="1" ht="16.5" customHeight="1" x14ac:dyDescent="0.2">
      <c r="A597" s="38">
        <f>COUNTIF($J$1:J597,"!")</f>
        <v>37</v>
      </c>
      <c r="B597" s="163" t="str">
        <f>IFERROR(VLOOKUP(C597,元件库!$B:$O,3,FALSE),"")</f>
        <v>高压热缩管</v>
      </c>
      <c r="C597" s="185" t="str">
        <f>"10KV"&amp;MID(C599,4,10)</f>
        <v>10KV-60*6</v>
      </c>
      <c r="D597" s="165" t="str">
        <f>IFERROR(VLOOKUP(C597,元件库!$B:$O,2,FALSE),"")</f>
        <v>精益联合集团</v>
      </c>
      <c r="E597" s="166" t="str">
        <f t="shared" si="223"/>
        <v>只</v>
      </c>
      <c r="F597" s="166">
        <f>ROUND(SUM(F599:F600),0)</f>
        <v>3</v>
      </c>
      <c r="G597" s="42">
        <f t="shared" si="224"/>
        <v>12</v>
      </c>
      <c r="H597" s="42">
        <f t="shared" si="225"/>
        <v>36</v>
      </c>
      <c r="I597" s="167"/>
      <c r="J597" s="168">
        <f t="shared" si="222"/>
        <v>1</v>
      </c>
      <c r="K597" s="169">
        <f t="shared" si="226"/>
        <v>12</v>
      </c>
      <c r="L597" s="170">
        <f>IFERROR(VLOOKUP(C597,元件库!$B:$O,10,FALSE),"1.00")</f>
        <v>1</v>
      </c>
      <c r="M597" s="171">
        <f>IFERROR(VLOOKUP(C597,元件库!$B:$O,11,FALSE),"")</f>
        <v>12</v>
      </c>
      <c r="N597" s="172" t="str">
        <f t="shared" ca="1" si="221"/>
        <v/>
      </c>
      <c r="O597" s="157"/>
    </row>
    <row r="598" spans="1:23" s="175" customFormat="1" ht="16.5" customHeight="1" x14ac:dyDescent="0.2">
      <c r="A598" s="38">
        <f>COUNTIF($J$1:J598,"!")</f>
        <v>37</v>
      </c>
      <c r="B598" s="163" t="str">
        <f>IFERROR(VLOOKUP(C598,元件库!$B:$O,3,FALSE),"")</f>
        <v>铜排</v>
      </c>
      <c r="C598" s="185" t="s">
        <v>1889</v>
      </c>
      <c r="D598" s="165" t="str">
        <f>IFERROR(VLOOKUP(C598,元件库!$B:$O,2,FALSE),"")</f>
        <v>欣利铜材</v>
      </c>
      <c r="E598" s="166" t="str">
        <f t="shared" si="223"/>
        <v>米</v>
      </c>
      <c r="F598" s="166">
        <v>6</v>
      </c>
      <c r="G598" s="42">
        <f t="shared" si="224"/>
        <v>182.62799999999999</v>
      </c>
      <c r="H598" s="42">
        <f t="shared" si="225"/>
        <v>1095.768</v>
      </c>
      <c r="I598" s="167"/>
      <c r="J598" s="168">
        <f t="shared" si="222"/>
        <v>1</v>
      </c>
      <c r="K598" s="169">
        <f t="shared" si="226"/>
        <v>182.62799999999999</v>
      </c>
      <c r="L598" s="170">
        <f>IFERROR(VLOOKUP(C598,元件库!$B:$O,10,FALSE),"1.00")</f>
        <v>1</v>
      </c>
      <c r="M598" s="171">
        <f>IFERROR(VLOOKUP(C598,元件库!$B:$O,11,FALSE),"")</f>
        <v>182.62799999999999</v>
      </c>
      <c r="N598" s="172" t="str">
        <f t="shared" ca="1" si="221"/>
        <v/>
      </c>
      <c r="O598" s="174" t="str">
        <f>O600</f>
        <v>HXGN-800*900*2000</v>
      </c>
    </row>
    <row r="599" spans="1:23" s="175" customFormat="1" ht="16.5" customHeight="1" x14ac:dyDescent="0.2">
      <c r="A599" s="38">
        <f>COUNTIF($J$1:J599,"!")</f>
        <v>37</v>
      </c>
      <c r="B599" s="163" t="s">
        <v>2171</v>
      </c>
      <c r="C599" s="185" t="s">
        <v>1889</v>
      </c>
      <c r="D599" s="165" t="str">
        <f>IFERROR(VLOOKUP(C599,元件库!$B:$O,2,FALSE),"")</f>
        <v>欣利铜材</v>
      </c>
      <c r="E599" s="166" t="str">
        <f t="shared" si="223"/>
        <v>米</v>
      </c>
      <c r="F599" s="166">
        <f>1*MID(O599,FIND("-",O599)+1,FIND("*",O599)-FIND("-",O599)-1)/1000*IF(B599="水平排",3,1)+IF(AND(B599="零母排",VLOOKUP(A599,A$1:B596,2,FALSE)="低压进线柜"),1.5,0)</f>
        <v>2.4000000000000004</v>
      </c>
      <c r="G599" s="42">
        <f t="shared" si="224"/>
        <v>182.62799999999999</v>
      </c>
      <c r="H599" s="42">
        <f t="shared" si="225"/>
        <v>438.30720000000002</v>
      </c>
      <c r="I599" s="167"/>
      <c r="J599" s="168">
        <f t="shared" si="222"/>
        <v>1</v>
      </c>
      <c r="K599" s="169">
        <f t="shared" si="226"/>
        <v>182.62799999999999</v>
      </c>
      <c r="L599" s="170">
        <f>IFERROR(VLOOKUP(C599,元件库!$B:$O,10,FALSE),"1.00")</f>
        <v>1</v>
      </c>
      <c r="M599" s="171">
        <f>IFERROR(VLOOKUP(C599,元件库!$B:$O,11,FALSE),"")</f>
        <v>182.62799999999999</v>
      </c>
      <c r="N599" s="172" t="str">
        <f t="shared" ca="1" si="221"/>
        <v/>
      </c>
      <c r="O599" s="174" t="str">
        <f>O602</f>
        <v>HXGN-800*900*2000</v>
      </c>
    </row>
    <row r="600" spans="1:23" s="175" customFormat="1" ht="16.5" customHeight="1" x14ac:dyDescent="0.2">
      <c r="A600" s="38">
        <f>COUNTIF($J$1:J600,"!")</f>
        <v>37</v>
      </c>
      <c r="B600" s="163" t="s">
        <v>2172</v>
      </c>
      <c r="C600" s="185" t="s">
        <v>2326</v>
      </c>
      <c r="D600" s="165" t="str">
        <f>IFERROR(VLOOKUP(C600,元件库!$B:$O,2,FALSE),"")</f>
        <v>欣利铜材</v>
      </c>
      <c r="E600" s="166" t="str">
        <f t="shared" si="223"/>
        <v>米</v>
      </c>
      <c r="F600" s="166">
        <f>1*MID(O600,FIND("-",O600)+1,FIND("*",O600)-FIND("-",O600)-1)/1000*IF(B600="水平排",3,1)+IF(AND(B600="零母排",VLOOKUP(A600,A$1:B597,2,FALSE)="低压进线柜"),1.5,0)</f>
        <v>0.8</v>
      </c>
      <c r="G600" s="42">
        <f t="shared" si="224"/>
        <v>81.167999999999992</v>
      </c>
      <c r="H600" s="42">
        <f t="shared" si="225"/>
        <v>64.934399999999997</v>
      </c>
      <c r="I600" s="167"/>
      <c r="J600" s="168">
        <f t="shared" si="222"/>
        <v>1</v>
      </c>
      <c r="K600" s="169">
        <f t="shared" si="226"/>
        <v>81.167999999999992</v>
      </c>
      <c r="L600" s="170">
        <f>IFERROR(VLOOKUP(C600,元件库!$B:$O,10,FALSE),"1.00")</f>
        <v>1</v>
      </c>
      <c r="M600" s="171">
        <f>IFERROR(VLOOKUP(C600,元件库!$B:$O,11,FALSE),"")</f>
        <v>81.167999999999992</v>
      </c>
      <c r="N600" s="172" t="str">
        <f t="shared" ca="1" si="221"/>
        <v/>
      </c>
      <c r="O600" s="174" t="str">
        <f>O603</f>
        <v>HXGN-800*900*2000</v>
      </c>
    </row>
    <row r="601" spans="1:23" s="162" customFormat="1" ht="16.5" customHeight="1" x14ac:dyDescent="0.2">
      <c r="A601" s="38">
        <f>COUNTIF($J$1:J601,"!")</f>
        <v>37</v>
      </c>
      <c r="B601" s="177" t="s">
        <v>107</v>
      </c>
      <c r="C601" s="164"/>
      <c r="D601" s="166"/>
      <c r="E601" s="166"/>
      <c r="F601" s="166"/>
      <c r="G601" s="42"/>
      <c r="H601" s="42"/>
      <c r="I601" s="178">
        <f>SUM(H587:H601)</f>
        <v>4383.0096000000003</v>
      </c>
      <c r="J601" s="168"/>
      <c r="K601" s="169"/>
      <c r="L601" s="170"/>
      <c r="M601" s="171"/>
      <c r="O601" s="161"/>
      <c r="P601" s="157"/>
    </row>
    <row r="602" spans="1:23" ht="16.5" customHeight="1" x14ac:dyDescent="0.2">
      <c r="A602" s="38">
        <f>COUNTIF($J$1:J602,"!")</f>
        <v>37</v>
      </c>
      <c r="B602" s="179" t="s">
        <v>47</v>
      </c>
      <c r="C602" s="164"/>
      <c r="D602" s="166"/>
      <c r="E602" s="166"/>
      <c r="F602" s="166"/>
      <c r="G602" s="42"/>
      <c r="H602" s="42">
        <f>IFERROR(J602*M602*L602,"")</f>
        <v>800</v>
      </c>
      <c r="I602" s="167"/>
      <c r="J602" s="168">
        <f>P$1</f>
        <v>1</v>
      </c>
      <c r="K602" s="169">
        <f>IFERROR(M602*L602,"")</f>
        <v>800</v>
      </c>
      <c r="L602" s="170" t="str">
        <f>IFERROR(VLOOKUP(C602,元件库!$B:$O,10,FALSE),"1.00")</f>
        <v>1.00</v>
      </c>
      <c r="M602" s="171">
        <f>IF(ISNUMBER(FIND("提升",VLOOKUP(A602,A$1:B601,2,FALSE))),IF(B602="成套费",400,200),IF(OR(ISNUMBER(FIND("XGN",O602)),ISNUMBER(FIND("HXGN",O602))),IF(B602="成套费",800,600),IF(ISNUMBER(FIND("KYN28",O602)),IF(B602="成套费",900,700),"")))</f>
        <v>800</v>
      </c>
      <c r="O602" s="180" t="str">
        <f>C587</f>
        <v>HXGN-800*900*2000</v>
      </c>
      <c r="P602" s="162"/>
      <c r="R602" s="157"/>
      <c r="S602" s="157"/>
    </row>
    <row r="603" spans="1:23" s="161" customFormat="1" ht="16.5" customHeight="1" x14ac:dyDescent="0.2">
      <c r="A603" s="38">
        <f>COUNTIF($J$1:J603,"!")</f>
        <v>37</v>
      </c>
      <c r="B603" s="179" t="s">
        <v>49</v>
      </c>
      <c r="C603" s="164"/>
      <c r="D603" s="166"/>
      <c r="E603" s="166"/>
      <c r="F603" s="166"/>
      <c r="G603" s="42"/>
      <c r="H603" s="42">
        <f>IFERROR(J603*M603*L603,"")</f>
        <v>600</v>
      </c>
      <c r="I603" s="167"/>
      <c r="J603" s="168">
        <f>P$1</f>
        <v>1</v>
      </c>
      <c r="K603" s="169">
        <f>IFERROR(M603*L603,"")</f>
        <v>600</v>
      </c>
      <c r="L603" s="170" t="str">
        <f>IFERROR(VLOOKUP(C603,元件库!$B:$O,10,FALSE),"1.00")</f>
        <v>1.00</v>
      </c>
      <c r="M603" s="171">
        <f>IF(ISNUMBER(FIND("提升",VLOOKUP(A603,A$1:B602,2,FALSE))),IF(B603="成套费",400,200),IF(OR(ISNUMBER(FIND("XGN",O603)),ISNUMBER(FIND("HXGN",O603))),IF(B603="成套费",800,600),IF(ISNUMBER(FIND("KYN28",O603)),IF(B603="成套费",900,700),"")))</f>
        <v>600</v>
      </c>
      <c r="O603" s="174" t="str">
        <f>O602</f>
        <v>HXGN-800*900*2000</v>
      </c>
      <c r="P603" s="162"/>
      <c r="Q603" s="162"/>
    </row>
    <row r="604" spans="1:23" s="161" customFormat="1" ht="16.5" customHeight="1" x14ac:dyDescent="0.2">
      <c r="A604" s="38">
        <f>COUNTIF($J$1:J604,"!")</f>
        <v>37</v>
      </c>
      <c r="B604" s="179" t="s">
        <v>79</v>
      </c>
      <c r="C604" s="164"/>
      <c r="D604" s="166"/>
      <c r="E604" s="166"/>
      <c r="F604" s="166"/>
      <c r="G604" s="42"/>
      <c r="H604" s="42">
        <f>K604*L604</f>
        <v>693.96115199999997</v>
      </c>
      <c r="I604" s="167"/>
      <c r="J604" s="168"/>
      <c r="K604" s="169">
        <f>SUM(H602:H603)+I601</f>
        <v>5783.0096000000003</v>
      </c>
      <c r="L604" s="279">
        <f>R$1</f>
        <v>0.12</v>
      </c>
      <c r="M604" s="171"/>
      <c r="O604" s="181"/>
      <c r="P604" s="162"/>
      <c r="Q604" s="162"/>
    </row>
    <row r="605" spans="1:23" ht="16.5" customHeight="1" x14ac:dyDescent="0.2">
      <c r="A605" s="38">
        <f>COUNTIF($J$1:J605,"!")</f>
        <v>37</v>
      </c>
      <c r="B605" s="179" t="s">
        <v>108</v>
      </c>
      <c r="C605" s="164"/>
      <c r="D605" s="166"/>
      <c r="E605" s="166"/>
      <c r="F605" s="166"/>
      <c r="G605" s="184"/>
      <c r="H605" s="42">
        <f>K605*L605</f>
        <v>194.30912255999999</v>
      </c>
      <c r="I605" s="167"/>
      <c r="J605" s="168"/>
      <c r="K605" s="169">
        <f>H604+K604</f>
        <v>6476.9707520000002</v>
      </c>
      <c r="L605" s="279">
        <f>T$1</f>
        <v>0.03</v>
      </c>
      <c r="M605" s="171"/>
      <c r="O605" s="161"/>
      <c r="P605" s="162"/>
      <c r="R605" s="157"/>
      <c r="S605" s="157"/>
    </row>
    <row r="606" spans="1:23" ht="16.5" customHeight="1" x14ac:dyDescent="0.15">
      <c r="A606" s="32">
        <f>COUNTIF($J$1:J606,"!")</f>
        <v>38</v>
      </c>
      <c r="B606" s="33" t="str">
        <f>IF(MID(H606,1,3)="SCB","干式","油式")&amp;B607</f>
        <v>干式变压器</v>
      </c>
      <c r="C606" s="158" t="s">
        <v>179</v>
      </c>
      <c r="D606" s="159" t="s">
        <v>3167</v>
      </c>
      <c r="E606" s="34" t="s">
        <v>23</v>
      </c>
      <c r="F606" s="159">
        <v>1</v>
      </c>
      <c r="G606" s="36">
        <f>ROUND(SUM(H607:H610),0)</f>
        <v>33630</v>
      </c>
      <c r="H606" s="160" t="str">
        <f>IF(ISNUMBER(FIND("M",C607)),MID(C607,1,FIND(" ",C607)-1),MID(C607,1,FIND(" ",C607)-1))</f>
        <v>SCB11-500KVA</v>
      </c>
      <c r="I606" s="47" t="str">
        <f>MID(C607,LEN(H606)+2,30)</f>
        <v>全铝</v>
      </c>
      <c r="J606" s="48" t="s">
        <v>24</v>
      </c>
      <c r="K606" s="49"/>
      <c r="L606" s="50"/>
      <c r="M606" s="51"/>
      <c r="N606" s="161" t="str">
        <f>IF(ISNUMBER(FIND("M",C607)),MID(C607,FIND("M",C607)+2,FIND(" ",C607)-FIND("M",C607)-1),MID(C607,FIND("-",C607)+1,FIND(" ",C607)-FIND("-",C607)))</f>
        <v xml:space="preserve">500KVA </v>
      </c>
      <c r="O606" s="297"/>
    </row>
    <row r="607" spans="1:23" ht="16.5" customHeight="1" x14ac:dyDescent="0.2">
      <c r="A607" s="38">
        <f>COUNTIF($J$1:J607,"!")</f>
        <v>38</v>
      </c>
      <c r="B607" s="163" t="str">
        <f>IFERROR(VLOOKUP(C607,元件库!$B:$O,3,FALSE),"")</f>
        <v>变压器</v>
      </c>
      <c r="C607" s="298" t="s">
        <v>3169</v>
      </c>
      <c r="D607" s="165">
        <f>IFERROR(VLOOKUP(C607,元件库!$B:$O,2,FALSE),"")</f>
        <v>0</v>
      </c>
      <c r="E607" s="166" t="s">
        <v>29</v>
      </c>
      <c r="F607" s="166">
        <v>1</v>
      </c>
      <c r="G607" s="42">
        <f>IFERROR(J607*K607,"")</f>
        <v>33630</v>
      </c>
      <c r="H607" s="42">
        <f>IFERROR(G607*F607,"")</f>
        <v>33630</v>
      </c>
      <c r="I607" s="167"/>
      <c r="J607" s="168">
        <f>P$1</f>
        <v>1</v>
      </c>
      <c r="K607" s="169">
        <f>IFERROR(M607*L607,"")</f>
        <v>33630</v>
      </c>
      <c r="L607" s="170">
        <v>0.95</v>
      </c>
      <c r="M607" s="171">
        <f>IFERROR(VLOOKUP(C607,元件库!$B:$O,11,FALSE),"")</f>
        <v>35400</v>
      </c>
      <c r="N607" s="172" t="str">
        <f ca="1">IF(ISNUMBER(FIND("IF",_xlfn.FORMULATEXT(M607))),"","值")</f>
        <v/>
      </c>
      <c r="O607" s="174"/>
      <c r="P607" s="161" t="str">
        <f>IFERROR(((MID(C607,FIND(" ",C607)+1,FIND("*",C607)-FIND(" ",C607)-1)*MID(C607,FIND("*",C607)+1,FIND("*",MID(C607,FIND("*",C607)+1,30))-1))+(MID(C607,FIND(" ",C607)+1,FIND("*",C607)-FIND(" ",C607)-1)*MID(C607,FIND("*",C607)+1+FIND("*",MID(C607,FIND("*",C607)+1,30)),30))+(MID(C607,FIND("*",C607)+1,FIND("*",MID(C607,FIND("*",C607)+1,30))-1)*MID(C607,FIND("*",C607)+1+FIND("*",MID(C607,FIND("*",C607)+1,30)),30)))/500000+IFERROR(IF(ROUND(MID(C607,FIND("*",C607)+FIND("*",MID(C607,FIND("*",C607)+1,30))+1,10),0)&gt;=350,(MID(C607,FIND(" ",C607)+1,FIND("*",C607)-FIND(" ",C607)-1)*MID(C607,FIND("*",C607)+1,FIND("*",MID(C607,FIND("*",C607)+1,30))-1))/2000000,(MID(C607,FIND(" ",C607)+1,FIND("*",C607)-FIND(" ",C607)-1)*MID(C607,FIND("*",C607)+1,FIND("*",MID(C607,FIND("*",C607)+1,30))-1))/1000000),""),"")</f>
        <v/>
      </c>
      <c r="Q607" s="157"/>
    </row>
    <row r="608" spans="1:23" ht="16.5" customHeight="1" x14ac:dyDescent="0.2">
      <c r="A608" s="38">
        <f>COUNTIF($J$1:J608,"!")</f>
        <v>38</v>
      </c>
      <c r="B608" s="177" t="s">
        <v>107</v>
      </c>
      <c r="C608" s="164"/>
      <c r="D608" s="166"/>
      <c r="E608" s="166"/>
      <c r="F608" s="166"/>
      <c r="G608" s="42"/>
      <c r="H608" s="42"/>
      <c r="I608" s="178">
        <f>SUM(H607:H608)</f>
        <v>33630</v>
      </c>
      <c r="J608" s="168"/>
      <c r="K608" s="169"/>
      <c r="L608" s="170"/>
      <c r="M608" s="171"/>
      <c r="O608" s="174"/>
      <c r="P608" s="162"/>
      <c r="Q608" s="157"/>
    </row>
    <row r="609" spans="1:19" s="161" customFormat="1" ht="16.5" customHeight="1" x14ac:dyDescent="0.2">
      <c r="A609" s="38">
        <f>COUNTIF($J$1:J609,"!")</f>
        <v>38</v>
      </c>
      <c r="B609" s="179" t="s">
        <v>79</v>
      </c>
      <c r="C609" s="164"/>
      <c r="D609" s="166"/>
      <c r="E609" s="166"/>
      <c r="F609" s="166"/>
      <c r="G609" s="42"/>
      <c r="H609" s="42">
        <f>K609*L609</f>
        <v>0</v>
      </c>
      <c r="I609" s="167"/>
      <c r="J609" s="168"/>
      <c r="K609" s="169">
        <f>I608</f>
        <v>33630</v>
      </c>
      <c r="L609" s="279"/>
      <c r="M609" s="171"/>
      <c r="O609" s="181"/>
      <c r="P609" s="162"/>
      <c r="Q609" s="162"/>
    </row>
    <row r="610" spans="1:19" ht="16.5" customHeight="1" x14ac:dyDescent="0.2">
      <c r="A610" s="38">
        <f>COUNTIF($J$1:J610,"!")</f>
        <v>38</v>
      </c>
      <c r="B610" s="179" t="s">
        <v>108</v>
      </c>
      <c r="C610" s="164"/>
      <c r="D610" s="166"/>
      <c r="E610" s="166"/>
      <c r="F610" s="166"/>
      <c r="G610" s="184"/>
      <c r="H610" s="42">
        <f>K610*L610</f>
        <v>0</v>
      </c>
      <c r="I610" s="167"/>
      <c r="J610" s="168"/>
      <c r="K610" s="169">
        <f>H609+K609</f>
        <v>33630</v>
      </c>
      <c r="L610" s="299"/>
      <c r="M610" s="171"/>
      <c r="O610" s="161"/>
      <c r="P610" s="162"/>
      <c r="R610" s="157"/>
      <c r="S610" s="157"/>
    </row>
    <row r="611" spans="1:19" ht="16.5" customHeight="1" x14ac:dyDescent="0.15">
      <c r="A611" s="32">
        <f>COUNTIF($J$1:J611,"!")</f>
        <v>39</v>
      </c>
      <c r="B611" s="33" t="s">
        <v>3042</v>
      </c>
      <c r="C611" s="158" t="s">
        <v>3170</v>
      </c>
      <c r="D611" s="159" t="s">
        <v>3167</v>
      </c>
      <c r="E611" s="34" t="s">
        <v>23</v>
      </c>
      <c r="F611" s="159">
        <v>1</v>
      </c>
      <c r="G611" s="36">
        <f>ROUND(SUM(H612:H628),0)</f>
        <v>11665</v>
      </c>
      <c r="H611" s="160" t="str">
        <f>IF(ISNUMBER(FIND(" ",C612)),MID(C612,1,FIND(" ",C612)-1),IF(ISNUMBER(FIND("电容柜",B611)),"GGJ",MID(C612,1,FIND("-",C612)-1)))</f>
        <v>GGD</v>
      </c>
      <c r="I611" s="47" t="str">
        <f>MID(C612,IF(LEN(C612)-LEN(H611)&gt;3,LEN(H611)+2,1),30)</f>
        <v>800*600*2000</v>
      </c>
      <c r="J611" s="48" t="s">
        <v>24</v>
      </c>
      <c r="K611" s="49"/>
      <c r="L611" s="50"/>
      <c r="M611" s="51"/>
      <c r="O611" s="162"/>
    </row>
    <row r="612" spans="1:19" ht="16.5" customHeight="1" x14ac:dyDescent="0.2">
      <c r="A612" s="38">
        <f>COUNTIF($J$1:J612,"!")</f>
        <v>39</v>
      </c>
      <c r="B612" s="163" t="str">
        <f>IFERROR(VLOOKUP(C612,元件库!$B:$O,3,FALSE),"")</f>
        <v>壳体W*D*H</v>
      </c>
      <c r="C612" s="164" t="s">
        <v>2337</v>
      </c>
      <c r="D612" s="165" t="str">
        <f>IFERROR(VLOOKUP(C612,元件库!$B:$O,2,FALSE),"")</f>
        <v>精益联合集团</v>
      </c>
      <c r="E612" s="166" t="str">
        <f t="shared" ref="E612:E623" si="227">IF(D612="欣利铜材","米",IF(B612="熔断器","套","只"))</f>
        <v>只</v>
      </c>
      <c r="F612" s="166">
        <v>1</v>
      </c>
      <c r="G612" s="42">
        <f t="shared" ref="G612:G623" si="228">IFERROR(J612*K612,"")</f>
        <v>1782.4999999999998</v>
      </c>
      <c r="H612" s="42">
        <f t="shared" ref="H612:H623" si="229">IFERROR(G612*F612,"")</f>
        <v>1782.4999999999998</v>
      </c>
      <c r="I612" s="167"/>
      <c r="J612" s="168">
        <f>P$1</f>
        <v>1</v>
      </c>
      <c r="K612" s="169">
        <f t="shared" ref="K612:K623" si="230">IFERROR(M612*L612,"")</f>
        <v>1782.4999999999998</v>
      </c>
      <c r="L612" s="170">
        <v>1.1499999999999999</v>
      </c>
      <c r="M612" s="171">
        <f>IFERROR(VLOOKUP(C612,元件库!$B:$O,11,FALSE),"")</f>
        <v>1550</v>
      </c>
      <c r="N612" s="172" t="str">
        <f t="shared" ref="N612:N623" ca="1" si="231">IF(AND(ISNUMBER(FIND("IF",_xlfn.FORMULATEXT(L612))),ISNUMBER(FIND("IF",_xlfn.FORMULATEXT(M612)))),"","值")</f>
        <v>值</v>
      </c>
      <c r="O612" s="157" t="str">
        <f>B611</f>
        <v>低压进线柜</v>
      </c>
    </row>
    <row r="613" spans="1:19" s="173" customFormat="1" ht="16.5" customHeight="1" x14ac:dyDescent="0.2">
      <c r="A613" s="38">
        <f>COUNTIF($J$1:J613,"!")</f>
        <v>39</v>
      </c>
      <c r="B613" s="163" t="str">
        <f>IFERROR(VLOOKUP(C613,元件库!$B:$O,3,FALSE),"")</f>
        <v/>
      </c>
      <c r="C613" s="164" t="s">
        <v>3053</v>
      </c>
      <c r="D613" s="165" t="str">
        <f>IFERROR(VLOOKUP(C613,元件库!$B:$O,2,FALSE),"")</f>
        <v/>
      </c>
      <c r="E613" s="166" t="str">
        <f t="shared" si="227"/>
        <v>只</v>
      </c>
      <c r="F613" s="166">
        <v>3</v>
      </c>
      <c r="G613" s="42" t="str">
        <f t="shared" si="228"/>
        <v/>
      </c>
      <c r="H613" s="42" t="str">
        <f t="shared" si="229"/>
        <v/>
      </c>
      <c r="I613" s="167"/>
      <c r="J613" s="168">
        <f t="shared" ref="J613:J623" si="232">P$1</f>
        <v>1</v>
      </c>
      <c r="K613" s="169" t="str">
        <f t="shared" si="230"/>
        <v/>
      </c>
      <c r="L613" s="170" t="str">
        <f>IFERROR(VLOOKUP(C613,元件库!$B:$O,10,FALSE),"1.00")</f>
        <v>1.00</v>
      </c>
      <c r="M613" s="171" t="str">
        <f>IFERROR(VLOOKUP(C613,元件库!$B:$O,11,FALSE),"")</f>
        <v/>
      </c>
      <c r="N613" s="172" t="str">
        <f t="shared" ca="1" si="231"/>
        <v/>
      </c>
      <c r="P613" s="161"/>
    </row>
    <row r="614" spans="1:19" s="173" customFormat="1" ht="16.5" customHeight="1" x14ac:dyDescent="0.2">
      <c r="A614" s="38">
        <f>COUNTIF($J$1:J614,"!")</f>
        <v>39</v>
      </c>
      <c r="B614" s="163" t="str">
        <f>IFERROR(VLOOKUP(C614,元件库!$B:$O,3,FALSE),"")</f>
        <v>刀开关</v>
      </c>
      <c r="C614" s="164" t="s">
        <v>3051</v>
      </c>
      <c r="D614" s="165" t="str">
        <f>IFERROR(VLOOKUP(C614,元件库!$B:$O,2,FALSE),"")</f>
        <v>精益联合集团</v>
      </c>
      <c r="E614" s="166" t="str">
        <f t="shared" si="227"/>
        <v>只</v>
      </c>
      <c r="F614" s="166">
        <v>1</v>
      </c>
      <c r="G614" s="42">
        <f t="shared" si="228"/>
        <v>573.1</v>
      </c>
      <c r="H614" s="42">
        <f t="shared" si="229"/>
        <v>573.1</v>
      </c>
      <c r="I614" s="167"/>
      <c r="J614" s="168">
        <f t="shared" si="232"/>
        <v>1</v>
      </c>
      <c r="K614" s="169">
        <f t="shared" si="230"/>
        <v>573.1</v>
      </c>
      <c r="L614" s="170">
        <f>IFERROR(VLOOKUP(C614,元件库!$B:$O,10,FALSE),"1.00")</f>
        <v>0.55000000000000004</v>
      </c>
      <c r="M614" s="171">
        <f>IFERROR(VLOOKUP(C614,元件库!$B:$O,11,FALSE),"")</f>
        <v>1042</v>
      </c>
      <c r="N614" s="172" t="str">
        <f t="shared" ca="1" si="231"/>
        <v/>
      </c>
      <c r="P614" s="161"/>
    </row>
    <row r="615" spans="1:19" s="173" customFormat="1" ht="16.5" customHeight="1" x14ac:dyDescent="0.2">
      <c r="A615" s="38">
        <f>COUNTIF($J$1:J615,"!")</f>
        <v>39</v>
      </c>
      <c r="B615" s="163" t="str">
        <f>IFERROR(VLOOKUP(C615,元件库!$B:$O,3,FALSE),"")</f>
        <v>框架断路器</v>
      </c>
      <c r="C615" s="164" t="s">
        <v>3171</v>
      </c>
      <c r="D615" s="165" t="str">
        <f>IFERROR(VLOOKUP(C615,元件库!$B:$O,2,FALSE),"")</f>
        <v>吉坤电气</v>
      </c>
      <c r="E615" s="166" t="str">
        <f t="shared" si="227"/>
        <v>只</v>
      </c>
      <c r="F615" s="166">
        <v>1</v>
      </c>
      <c r="G615" s="42">
        <f t="shared" si="228"/>
        <v>3990</v>
      </c>
      <c r="H615" s="42">
        <f t="shared" si="229"/>
        <v>3990</v>
      </c>
      <c r="I615" s="167"/>
      <c r="J615" s="168">
        <f t="shared" si="232"/>
        <v>1</v>
      </c>
      <c r="K615" s="169">
        <f t="shared" si="230"/>
        <v>3990</v>
      </c>
      <c r="L615" s="170">
        <f>IFERROR(VLOOKUP(C615,元件库!$B:$O,10,FALSE),"1.00")</f>
        <v>1</v>
      </c>
      <c r="M615" s="171">
        <f>IFERROR(VLOOKUP(C615,元件库!$B:$O,11,FALSE),"")</f>
        <v>3990</v>
      </c>
      <c r="N615" s="172" t="str">
        <f t="shared" ca="1" si="231"/>
        <v/>
      </c>
      <c r="P615" s="161"/>
    </row>
    <row r="616" spans="1:19" s="173" customFormat="1" ht="16.5" customHeight="1" x14ac:dyDescent="0.2">
      <c r="A616" s="38">
        <f>COUNTIF($J$1:J616,"!")</f>
        <v>39</v>
      </c>
      <c r="B616" s="163" t="str">
        <f>IFERROR(VLOOKUP(C616,元件库!$B:$O,3,FALSE),"")</f>
        <v/>
      </c>
      <c r="C616" s="164" t="s">
        <v>2974</v>
      </c>
      <c r="D616" s="165" t="str">
        <f>IFERROR(VLOOKUP(C616,元件库!$B:$O,2,FALSE),"")</f>
        <v/>
      </c>
      <c r="E616" s="166" t="str">
        <f t="shared" si="227"/>
        <v>只</v>
      </c>
      <c r="F616" s="166">
        <v>3</v>
      </c>
      <c r="G616" s="42" t="str">
        <f t="shared" si="228"/>
        <v/>
      </c>
      <c r="H616" s="42" t="str">
        <f t="shared" si="229"/>
        <v/>
      </c>
      <c r="I616" s="167"/>
      <c r="J616" s="168">
        <f t="shared" si="232"/>
        <v>1</v>
      </c>
      <c r="K616" s="169" t="str">
        <f t="shared" si="230"/>
        <v/>
      </c>
      <c r="L616" s="170" t="str">
        <f>IFERROR(VLOOKUP(C616,元件库!$B:$O,10,FALSE),"1.00")</f>
        <v>1.00</v>
      </c>
      <c r="M616" s="171" t="str">
        <f>IFERROR(VLOOKUP(C616,元件库!$B:$O,11,FALSE),"")</f>
        <v/>
      </c>
      <c r="N616" s="172" t="str">
        <f t="shared" ca="1" si="231"/>
        <v/>
      </c>
      <c r="P616" s="161"/>
    </row>
    <row r="617" spans="1:19" s="173" customFormat="1" ht="16.5" customHeight="1" x14ac:dyDescent="0.2">
      <c r="A617" s="38">
        <f>COUNTIF($J$1:J617,"!")</f>
        <v>39</v>
      </c>
      <c r="B617" s="163" t="str">
        <f>IFERROR(VLOOKUP(C617,元件库!$B:$O,3,FALSE),"")</f>
        <v>电流.电压表</v>
      </c>
      <c r="C617" s="164" t="s">
        <v>1899</v>
      </c>
      <c r="D617" s="165" t="str">
        <f>IFERROR(VLOOKUP(C617,元件库!$B:$O,2,FALSE),"")</f>
        <v>精益联合集团</v>
      </c>
      <c r="E617" s="166" t="str">
        <f t="shared" si="227"/>
        <v>只</v>
      </c>
      <c r="F617" s="166">
        <v>6</v>
      </c>
      <c r="G617" s="42">
        <f t="shared" si="228"/>
        <v>13.750000000000002</v>
      </c>
      <c r="H617" s="42">
        <f t="shared" si="229"/>
        <v>82.500000000000014</v>
      </c>
      <c r="I617" s="167"/>
      <c r="J617" s="168">
        <f t="shared" si="232"/>
        <v>1</v>
      </c>
      <c r="K617" s="169">
        <f t="shared" si="230"/>
        <v>13.750000000000002</v>
      </c>
      <c r="L617" s="170">
        <f>IFERROR(VLOOKUP(C617,元件库!$B:$O,10,FALSE),"1.00")</f>
        <v>0.55000000000000004</v>
      </c>
      <c r="M617" s="171">
        <f>IFERROR(VLOOKUP(C617,元件库!$B:$O,11,FALSE),"")</f>
        <v>25</v>
      </c>
      <c r="N617" s="172" t="str">
        <f t="shared" ca="1" si="231"/>
        <v/>
      </c>
      <c r="P617" s="161"/>
    </row>
    <row r="618" spans="1:19" s="173" customFormat="1" ht="16.5" customHeight="1" x14ac:dyDescent="0.2">
      <c r="A618" s="38">
        <f>COUNTIF($J$1:J618,"!")</f>
        <v>39</v>
      </c>
      <c r="B618" s="163" t="str">
        <f>IFERROR(VLOOKUP(C618,元件库!$B:$O,3,FALSE),"")</f>
        <v>指示灯</v>
      </c>
      <c r="C618" s="164" t="s">
        <v>3044</v>
      </c>
      <c r="D618" s="165" t="str">
        <f>IFERROR(VLOOKUP(C618,元件库!$B:$O,2,FALSE),"")</f>
        <v>精益联合集团</v>
      </c>
      <c r="E618" s="166" t="str">
        <f t="shared" si="227"/>
        <v>只</v>
      </c>
      <c r="F618" s="166">
        <v>3</v>
      </c>
      <c r="G618" s="42">
        <f t="shared" si="228"/>
        <v>2.3100000000000005</v>
      </c>
      <c r="H618" s="42">
        <f t="shared" si="229"/>
        <v>6.9300000000000015</v>
      </c>
      <c r="I618" s="167"/>
      <c r="J618" s="168">
        <f t="shared" si="232"/>
        <v>1</v>
      </c>
      <c r="K618" s="169">
        <f t="shared" si="230"/>
        <v>2.3100000000000005</v>
      </c>
      <c r="L618" s="170">
        <f>IFERROR(VLOOKUP(C618,元件库!$B:$O,10,FALSE),"1.00")</f>
        <v>0.55000000000000004</v>
      </c>
      <c r="M618" s="171">
        <f>IFERROR(VLOOKUP(C618,元件库!$B:$O,11,FALSE),"")</f>
        <v>4.2</v>
      </c>
      <c r="N618" s="172" t="str">
        <f t="shared" ca="1" si="231"/>
        <v/>
      </c>
      <c r="P618" s="161"/>
    </row>
    <row r="619" spans="1:19" s="173" customFormat="1" ht="16.5" customHeight="1" x14ac:dyDescent="0.2">
      <c r="A619" s="38">
        <f>COUNTIF($J$1:J619,"!")</f>
        <v>39</v>
      </c>
      <c r="B619" s="163" t="str">
        <f>IFERROR(VLOOKUP(C619,元件库!$B:$O,3,FALSE),"")</f>
        <v/>
      </c>
      <c r="C619" s="164" t="s">
        <v>3045</v>
      </c>
      <c r="D619" s="165" t="str">
        <f>IFERROR(VLOOKUP(C619,元件库!$B:$O,2,FALSE),"")</f>
        <v/>
      </c>
      <c r="E619" s="166" t="str">
        <f t="shared" si="227"/>
        <v>只</v>
      </c>
      <c r="F619" s="166">
        <v>2</v>
      </c>
      <c r="G619" s="42" t="str">
        <f t="shared" si="228"/>
        <v/>
      </c>
      <c r="H619" s="42" t="str">
        <f t="shared" si="229"/>
        <v/>
      </c>
      <c r="I619" s="167"/>
      <c r="J619" s="168">
        <f t="shared" si="232"/>
        <v>1</v>
      </c>
      <c r="K619" s="169" t="str">
        <f t="shared" si="230"/>
        <v/>
      </c>
      <c r="L619" s="170" t="str">
        <f>IFERROR(VLOOKUP(C619,元件库!$B:$O,10,FALSE),"1.00")</f>
        <v>1.00</v>
      </c>
      <c r="M619" s="171" t="str">
        <f>IFERROR(VLOOKUP(C619,元件库!$B:$O,11,FALSE),"")</f>
        <v/>
      </c>
      <c r="N619" s="172" t="str">
        <f t="shared" ca="1" si="231"/>
        <v/>
      </c>
      <c r="P619" s="161"/>
    </row>
    <row r="620" spans="1:19" s="173" customFormat="1" ht="16.5" customHeight="1" x14ac:dyDescent="0.2">
      <c r="A620" s="38">
        <f>COUNTIF($J$1:J620,"!")</f>
        <v>39</v>
      </c>
      <c r="B620" s="163" t="str">
        <f>IFERROR(VLOOKUP(C620,元件库!$B:$O,3,FALSE),"")</f>
        <v>铜排</v>
      </c>
      <c r="C620" s="164" t="s">
        <v>1889</v>
      </c>
      <c r="D620" s="165" t="str">
        <f>IFERROR(VLOOKUP(C620,元件库!$B:$O,2,FALSE),"")</f>
        <v>欣利铜材</v>
      </c>
      <c r="E620" s="166" t="str">
        <f t="shared" si="227"/>
        <v>米</v>
      </c>
      <c r="F620" s="166">
        <v>11</v>
      </c>
      <c r="G620" s="42">
        <f t="shared" si="228"/>
        <v>182.62799999999999</v>
      </c>
      <c r="H620" s="42">
        <f t="shared" si="229"/>
        <v>2008.9079999999999</v>
      </c>
      <c r="I620" s="167"/>
      <c r="J620" s="168">
        <f t="shared" si="232"/>
        <v>1</v>
      </c>
      <c r="K620" s="169">
        <f t="shared" si="230"/>
        <v>182.62799999999999</v>
      </c>
      <c r="L620" s="170">
        <f>IFERROR(VLOOKUP(C620,元件库!$B:$O,10,FALSE),"1.00")</f>
        <v>1</v>
      </c>
      <c r="M620" s="171">
        <f>IFERROR(VLOOKUP(C620,元件库!$B:$O,11,FALSE),"")</f>
        <v>182.62799999999999</v>
      </c>
      <c r="N620" s="172" t="str">
        <f t="shared" ca="1" si="231"/>
        <v/>
      </c>
      <c r="P620" s="161"/>
    </row>
    <row r="621" spans="1:19" s="175" customFormat="1" ht="16.5" customHeight="1" x14ac:dyDescent="0.2">
      <c r="A621" s="38">
        <f>COUNTIF($J$1:J621,"!")</f>
        <v>39</v>
      </c>
      <c r="B621" s="163" t="s">
        <v>2171</v>
      </c>
      <c r="C621" s="164" t="s">
        <v>1889</v>
      </c>
      <c r="D621" s="165" t="str">
        <f>IFERROR(VLOOKUP(C621,元件库!$B:$O,2,FALSE),"")</f>
        <v>欣利铜材</v>
      </c>
      <c r="E621" s="166" t="str">
        <f t="shared" si="227"/>
        <v>米</v>
      </c>
      <c r="F621" s="166">
        <f>1*(MID(O621,FIND("-",O621)+1,FIND("*",O621)-FIND("-",O621)-1)/1000*IF(B621="水平排",3,1))</f>
        <v>2.4000000000000004</v>
      </c>
      <c r="G621" s="42">
        <f t="shared" si="228"/>
        <v>182.62799999999999</v>
      </c>
      <c r="H621" s="42">
        <f t="shared" si="229"/>
        <v>438.30720000000002</v>
      </c>
      <c r="I621" s="167"/>
      <c r="J621" s="168">
        <f t="shared" si="232"/>
        <v>1</v>
      </c>
      <c r="K621" s="169">
        <f t="shared" si="230"/>
        <v>182.62799999999999</v>
      </c>
      <c r="L621" s="170">
        <f>IFERROR(VLOOKUP(C621,元件库!$B:$O,10,FALSE),"1.00")</f>
        <v>1</v>
      </c>
      <c r="M621" s="171">
        <f>IFERROR(VLOOKUP(C621,元件库!$B:$O,11,FALSE),"")</f>
        <v>182.62799999999999</v>
      </c>
      <c r="N621" s="172" t="str">
        <f t="shared" ca="1" si="231"/>
        <v/>
      </c>
      <c r="O621" s="174" t="str">
        <f>O625</f>
        <v>GGD-800*600*2000</v>
      </c>
    </row>
    <row r="622" spans="1:19" s="175" customFormat="1" ht="16.5" customHeight="1" x14ac:dyDescent="0.2">
      <c r="A622" s="38">
        <f>COUNTIF($J$1:J622,"!")</f>
        <v>39</v>
      </c>
      <c r="B622" s="163" t="s">
        <v>2725</v>
      </c>
      <c r="C622" s="164" t="s">
        <v>2326</v>
      </c>
      <c r="D622" s="165" t="str">
        <f>IFERROR(VLOOKUP(C622,元件库!$B:$O,2,FALSE),"")</f>
        <v>欣利铜材</v>
      </c>
      <c r="E622" s="166" t="str">
        <f t="shared" si="227"/>
        <v>米</v>
      </c>
      <c r="F622" s="166">
        <f>1*(MID(O622,FIND("-",O622)+1,FIND("*",O622)-FIND("-",O622)-1)/1000*IF(B622="水平排",3,1))</f>
        <v>0.8</v>
      </c>
      <c r="G622" s="42">
        <f t="shared" si="228"/>
        <v>81.167999999999992</v>
      </c>
      <c r="H622" s="42">
        <f t="shared" si="229"/>
        <v>64.934399999999997</v>
      </c>
      <c r="I622" s="167"/>
      <c r="J622" s="168">
        <f t="shared" si="232"/>
        <v>1</v>
      </c>
      <c r="K622" s="169">
        <f t="shared" si="230"/>
        <v>81.167999999999992</v>
      </c>
      <c r="L622" s="170">
        <f>IFERROR(VLOOKUP(C622,元件库!$B:$O,10,FALSE),"1.00")</f>
        <v>1</v>
      </c>
      <c r="M622" s="171">
        <f>IFERROR(VLOOKUP(C622,元件库!$B:$O,11,FALSE),"")</f>
        <v>81.167999999999992</v>
      </c>
      <c r="N622" s="172" t="str">
        <f t="shared" ca="1" si="231"/>
        <v/>
      </c>
      <c r="O622" s="176" t="str">
        <f>O625</f>
        <v>GGD-800*600*2000</v>
      </c>
    </row>
    <row r="623" spans="1:19" s="175" customFormat="1" ht="16.5" customHeight="1" x14ac:dyDescent="0.2">
      <c r="A623" s="38">
        <f>COUNTIF($J$1:J623,"!")</f>
        <v>39</v>
      </c>
      <c r="B623" s="163" t="s">
        <v>2172</v>
      </c>
      <c r="C623" s="164" t="s">
        <v>2326</v>
      </c>
      <c r="D623" s="165" t="str">
        <f>IFERROR(VLOOKUP(C623,元件库!$B:$O,2,FALSE),"")</f>
        <v>欣利铜材</v>
      </c>
      <c r="E623" s="166" t="str">
        <f t="shared" si="227"/>
        <v>米</v>
      </c>
      <c r="F623" s="166">
        <f>1*(MID(O623,FIND("-",O623)+1,FIND("*",O623)-FIND("-",O623)-1)/1000*IF(B623="水平排",3,1))</f>
        <v>0.8</v>
      </c>
      <c r="G623" s="42">
        <f t="shared" si="228"/>
        <v>81.167999999999992</v>
      </c>
      <c r="H623" s="42">
        <f t="shared" si="229"/>
        <v>64.934399999999997</v>
      </c>
      <c r="I623" s="167"/>
      <c r="J623" s="168">
        <f t="shared" si="232"/>
        <v>1</v>
      </c>
      <c r="K623" s="169">
        <f t="shared" si="230"/>
        <v>81.167999999999992</v>
      </c>
      <c r="L623" s="170">
        <f>IFERROR(VLOOKUP(C623,元件库!$B:$O,10,FALSE),"1.00")</f>
        <v>1</v>
      </c>
      <c r="M623" s="171">
        <f>IFERROR(VLOOKUP(C623,元件库!$B:$O,11,FALSE),"")</f>
        <v>81.167999999999992</v>
      </c>
      <c r="N623" s="172" t="str">
        <f t="shared" ca="1" si="231"/>
        <v/>
      </c>
      <c r="O623" s="176" t="str">
        <f>O625</f>
        <v>GGD-800*600*2000</v>
      </c>
    </row>
    <row r="624" spans="1:19" ht="16.5" customHeight="1" x14ac:dyDescent="0.2">
      <c r="A624" s="38">
        <f>COUNTIF($J$1:J624,"!")</f>
        <v>39</v>
      </c>
      <c r="B624" s="177" t="s">
        <v>107</v>
      </c>
      <c r="C624" s="164"/>
      <c r="D624" s="166"/>
      <c r="E624" s="166"/>
      <c r="F624" s="166"/>
      <c r="G624" s="42"/>
      <c r="H624" s="42"/>
      <c r="I624" s="178">
        <f>SUM(H612:H624)</f>
        <v>9012.1139999999996</v>
      </c>
      <c r="J624" s="168"/>
      <c r="K624" s="169"/>
      <c r="L624" s="170"/>
      <c r="M624" s="171"/>
      <c r="O624" s="174"/>
      <c r="P624" s="162"/>
    </row>
    <row r="625" spans="1:23" ht="16.5" customHeight="1" x14ac:dyDescent="0.2">
      <c r="A625" s="38">
        <f>COUNTIF($J$1:J625,"!")</f>
        <v>39</v>
      </c>
      <c r="B625" s="179" t="s">
        <v>47</v>
      </c>
      <c r="C625" s="164"/>
      <c r="D625" s="166"/>
      <c r="E625" s="166"/>
      <c r="F625" s="166"/>
      <c r="G625" s="42"/>
      <c r="H625" s="42">
        <f>IFERROR(J625*K625,"")</f>
        <v>800</v>
      </c>
      <c r="I625" s="167"/>
      <c r="J625" s="168">
        <f>P$1</f>
        <v>1</v>
      </c>
      <c r="K625" s="169">
        <f>L625*M625</f>
        <v>800</v>
      </c>
      <c r="L625" s="170" t="str">
        <f>IFERROR(VLOOKUP(C625,元件库!$B:$O,10,FALSE),"1.00")</f>
        <v>1.00</v>
      </c>
      <c r="M625" s="171">
        <f>IF(B625="成套费",IF(ISNUMBER(FIND("GGD",O625)),800,IF(OR(ISNUMBER(FIND("GCS",O625)),ISNUMBER(FIND("GCK",O625)),ISNUMBER(FIND("MNS",O625))),1000,"")),IF(B625="辅件费",IF(VLOOKUP(A626,A$1:B625,2,FALSE)="低压电容柜",500,300),""))</f>
        <v>800</v>
      </c>
      <c r="O625" s="180" t="str">
        <f>C612</f>
        <v>GGD-800*600*2000</v>
      </c>
    </row>
    <row r="626" spans="1:23" s="161" customFormat="1" ht="16.5" customHeight="1" x14ac:dyDescent="0.2">
      <c r="A626" s="38">
        <f>COUNTIF($J$1:J626,"!")</f>
        <v>39</v>
      </c>
      <c r="B626" s="179" t="s">
        <v>49</v>
      </c>
      <c r="C626" s="164"/>
      <c r="D626" s="166"/>
      <c r="E626" s="166"/>
      <c r="F626" s="166"/>
      <c r="G626" s="42"/>
      <c r="H626" s="42">
        <f>IFERROR(J626*K626,"")</f>
        <v>300</v>
      </c>
      <c r="I626" s="167"/>
      <c r="J626" s="168">
        <f>P$1</f>
        <v>1</v>
      </c>
      <c r="K626" s="169">
        <f>L626*M626</f>
        <v>300</v>
      </c>
      <c r="L626" s="170" t="str">
        <f>IFERROR(VLOOKUP(C626,元件库!$B:$O,10,FALSE),"1.00")</f>
        <v>1.00</v>
      </c>
      <c r="M626" s="171">
        <f>IF(B626="成套费",IF(ISNUMBER(FIND("GGD",O626)),800,IF(OR(ISNUMBER(FIND("GCS",O626)),ISNUMBER(FIND("GCK",O626)),ISNUMBER(FIND("MNS",O626))),1000,"")),IF(B626="辅件费",IF(VLOOKUP(A626,A$1:B626,2,FALSE)="低压电容柜",500,300),""))</f>
        <v>300</v>
      </c>
      <c r="N626" s="181"/>
      <c r="O626" s="182" t="str">
        <f>O625</f>
        <v>GGD-800*600*2000</v>
      </c>
      <c r="R626" s="162"/>
      <c r="S626" s="162"/>
    </row>
    <row r="627" spans="1:23" s="161" customFormat="1" ht="16.5" customHeight="1" x14ac:dyDescent="0.2">
      <c r="A627" s="38">
        <f>COUNTIF($J$1:J627,"!")</f>
        <v>39</v>
      </c>
      <c r="B627" s="179" t="s">
        <v>79</v>
      </c>
      <c r="C627" s="164"/>
      <c r="D627" s="166"/>
      <c r="E627" s="166"/>
      <c r="F627" s="166"/>
      <c r="G627" s="42"/>
      <c r="H627" s="42">
        <f>K627*L627</f>
        <v>1213.4536799999998</v>
      </c>
      <c r="I627" s="167"/>
      <c r="J627" s="168"/>
      <c r="K627" s="169">
        <f>SUM(H624:H626)+I624</f>
        <v>10112.114</v>
      </c>
      <c r="L627" s="279">
        <f>R$1</f>
        <v>0.12</v>
      </c>
      <c r="M627" s="171"/>
      <c r="N627" s="181"/>
      <c r="O627" s="162"/>
      <c r="R627" s="162"/>
      <c r="S627" s="162"/>
    </row>
    <row r="628" spans="1:23" s="162" customFormat="1" ht="16.5" customHeight="1" x14ac:dyDescent="0.2">
      <c r="A628" s="38">
        <f>COUNTIF($J$1:J628,"!")</f>
        <v>39</v>
      </c>
      <c r="B628" s="179" t="s">
        <v>108</v>
      </c>
      <c r="C628" s="164"/>
      <c r="D628" s="166"/>
      <c r="E628" s="166"/>
      <c r="F628" s="166"/>
      <c r="G628" s="184"/>
      <c r="H628" s="42">
        <f>K628*L628</f>
        <v>339.76703040000001</v>
      </c>
      <c r="I628" s="167"/>
      <c r="J628" s="168"/>
      <c r="K628" s="169">
        <f>H627+K627</f>
        <v>11325.56768</v>
      </c>
      <c r="L628" s="279">
        <f>T$1</f>
        <v>0.03</v>
      </c>
      <c r="M628" s="171"/>
      <c r="N628" s="161"/>
      <c r="P628" s="161"/>
      <c r="T628" s="157"/>
      <c r="U628" s="157"/>
      <c r="V628" s="157"/>
      <c r="W628" s="157"/>
    </row>
    <row r="629" spans="1:23" s="162" customFormat="1" ht="16.5" customHeight="1" x14ac:dyDescent="0.15">
      <c r="A629" s="32">
        <f>COUNTIF($J$1:J629,"!")</f>
        <v>40</v>
      </c>
      <c r="B629" s="33" t="s">
        <v>3046</v>
      </c>
      <c r="C629" s="158" t="s">
        <v>3172</v>
      </c>
      <c r="D629" s="159" t="s">
        <v>3167</v>
      </c>
      <c r="E629" s="34" t="s">
        <v>23</v>
      </c>
      <c r="F629" s="159">
        <v>1</v>
      </c>
      <c r="G629" s="36">
        <f>ROUND(SUM(H630:H646),0)</f>
        <v>9117</v>
      </c>
      <c r="H629" s="160" t="str">
        <f>IF(ISNUMBER(FIND(" ",C630)),MID(C630,1,FIND(" ",C630)-1),IF(ISNUMBER(FIND("电容柜",B629)),"GGJ",MID(C630,1,FIND("-",C630)-1)))</f>
        <v>GGJ</v>
      </c>
      <c r="I629" s="47" t="str">
        <f>MID(C630,IF(LEN(C630)-LEN(H629)&gt;3,LEN(H629)+2,1),30)</f>
        <v>800*600*2000</v>
      </c>
      <c r="J629" s="48" t="s">
        <v>24</v>
      </c>
      <c r="K629" s="49"/>
      <c r="L629" s="50"/>
      <c r="M629" s="51"/>
      <c r="N629" s="161"/>
      <c r="P629" s="161"/>
      <c r="T629" s="157"/>
      <c r="U629" s="157"/>
      <c r="V629" s="157"/>
      <c r="W629" s="157"/>
    </row>
    <row r="630" spans="1:23" s="162" customFormat="1" ht="16.5" customHeight="1" x14ac:dyDescent="0.2">
      <c r="A630" s="38">
        <f>COUNTIF($J$1:J630,"!")</f>
        <v>40</v>
      </c>
      <c r="B630" s="163" t="str">
        <f>IFERROR(VLOOKUP(C630,元件库!$B:$O,3,FALSE),"")</f>
        <v>壳体W*D*H</v>
      </c>
      <c r="C630" s="164" t="s">
        <v>2337</v>
      </c>
      <c r="D630" s="165" t="str">
        <f>IFERROR(VLOOKUP(C630,元件库!$B:$O,2,FALSE),"")</f>
        <v>精益联合集团</v>
      </c>
      <c r="E630" s="166" t="str">
        <f t="shared" ref="E630:E641" si="233">IF(D630="欣利铜材","米",IF(B630="熔断器","套","只"))</f>
        <v>只</v>
      </c>
      <c r="F630" s="166">
        <v>1</v>
      </c>
      <c r="G630" s="42">
        <f t="shared" ref="G630:G641" si="234">IFERROR(J630*K630,"")</f>
        <v>1550</v>
      </c>
      <c r="H630" s="42">
        <f t="shared" ref="H630:H641" si="235">IFERROR(G630*F630,"")</f>
        <v>1550</v>
      </c>
      <c r="I630" s="167"/>
      <c r="J630" s="168">
        <f>P$1</f>
        <v>1</v>
      </c>
      <c r="K630" s="169">
        <f t="shared" ref="K630:K641" si="236">IFERROR(M630*L630,"")</f>
        <v>1550</v>
      </c>
      <c r="L630" s="170">
        <f>IFERROR(VLOOKUP(C630,元件库!$B:$O,10,FALSE),"1.00")</f>
        <v>1</v>
      </c>
      <c r="M630" s="171">
        <f>IFERROR(VLOOKUP(C630,元件库!$B:$O,11,FALSE),"")</f>
        <v>1550</v>
      </c>
      <c r="N630" s="172" t="str">
        <f t="shared" ref="N630:N641" ca="1" si="237">IF(AND(ISNUMBER(FIND("IF",_xlfn.FORMULATEXT(L630))),ISNUMBER(FIND("IF",_xlfn.FORMULATEXT(M630)))),"","值")</f>
        <v/>
      </c>
      <c r="O630" s="157" t="str">
        <f>B629</f>
        <v>低压电容柜</v>
      </c>
      <c r="P630" s="161"/>
      <c r="T630" s="157"/>
      <c r="U630" s="157"/>
      <c r="V630" s="157"/>
      <c r="W630" s="157"/>
    </row>
    <row r="631" spans="1:23" s="173" customFormat="1" ht="16.5" customHeight="1" x14ac:dyDescent="0.2">
      <c r="A631" s="38">
        <f>COUNTIF($J$1:J631,"!")</f>
        <v>40</v>
      </c>
      <c r="B631" s="163" t="str">
        <f>IFERROR(VLOOKUP(C631,元件库!$B:$O,3,FALSE),"")</f>
        <v>刀开关</v>
      </c>
      <c r="C631" s="164" t="s">
        <v>2849</v>
      </c>
      <c r="D631" s="165" t="str">
        <f>IFERROR(VLOOKUP(C631,元件库!$B:$O,2,FALSE),"")</f>
        <v>精益联合集团</v>
      </c>
      <c r="E631" s="166" t="str">
        <f t="shared" si="233"/>
        <v>只</v>
      </c>
      <c r="F631" s="166">
        <v>1</v>
      </c>
      <c r="G631" s="42">
        <f t="shared" si="234"/>
        <v>192.50000000000003</v>
      </c>
      <c r="H631" s="42">
        <f t="shared" si="235"/>
        <v>192.50000000000003</v>
      </c>
      <c r="I631" s="167"/>
      <c r="J631" s="168">
        <f t="shared" ref="J631:J641" si="238">P$1</f>
        <v>1</v>
      </c>
      <c r="K631" s="169">
        <f t="shared" si="236"/>
        <v>192.50000000000003</v>
      </c>
      <c r="L631" s="170">
        <f>IFERROR(VLOOKUP(C631,元件库!$B:$O,10,FALSE),"1.00")</f>
        <v>0.55000000000000004</v>
      </c>
      <c r="M631" s="171">
        <f>IFERROR(VLOOKUP(C631,元件库!$B:$O,11,FALSE),"")</f>
        <v>350</v>
      </c>
      <c r="N631" s="172" t="str">
        <f t="shared" ca="1" si="237"/>
        <v/>
      </c>
      <c r="P631" s="161"/>
    </row>
    <row r="632" spans="1:23" s="173" customFormat="1" ht="16.5" customHeight="1" x14ac:dyDescent="0.2">
      <c r="A632" s="38">
        <f>COUNTIF($J$1:J632,"!")</f>
        <v>40</v>
      </c>
      <c r="B632" s="163" t="str">
        <f>IFERROR(VLOOKUP(C632,元件库!$B:$O,3,FALSE),"")</f>
        <v/>
      </c>
      <c r="C632" s="164" t="s">
        <v>3128</v>
      </c>
      <c r="D632" s="165" t="str">
        <f>IFERROR(VLOOKUP(C632,元件库!$B:$O,2,FALSE),"")</f>
        <v/>
      </c>
      <c r="E632" s="166" t="str">
        <f t="shared" si="233"/>
        <v>只</v>
      </c>
      <c r="F632" s="166">
        <v>3</v>
      </c>
      <c r="G632" s="42" t="str">
        <f t="shared" si="234"/>
        <v/>
      </c>
      <c r="H632" s="42" t="str">
        <f t="shared" si="235"/>
        <v/>
      </c>
      <c r="I632" s="167"/>
      <c r="J632" s="168">
        <f t="shared" si="238"/>
        <v>1</v>
      </c>
      <c r="K632" s="169" t="str">
        <f t="shared" si="236"/>
        <v/>
      </c>
      <c r="L632" s="170" t="str">
        <f>IFERROR(VLOOKUP(C632,元件库!$B:$O,10,FALSE),"1.00")</f>
        <v>1.00</v>
      </c>
      <c r="M632" s="171" t="str">
        <f>IFERROR(VLOOKUP(C632,元件库!$B:$O,11,FALSE),"")</f>
        <v/>
      </c>
      <c r="N632" s="172" t="str">
        <f t="shared" ca="1" si="237"/>
        <v/>
      </c>
      <c r="P632" s="161"/>
    </row>
    <row r="633" spans="1:23" s="173" customFormat="1" ht="16.5" customHeight="1" x14ac:dyDescent="0.2">
      <c r="A633" s="38">
        <f>COUNTIF($J$1:J633,"!")</f>
        <v>40</v>
      </c>
      <c r="B633" s="163" t="str">
        <f>IFERROR(VLOOKUP(C633,元件库!$B:$O,3,FALSE),"")</f>
        <v>电流.电压表</v>
      </c>
      <c r="C633" s="164" t="s">
        <v>1899</v>
      </c>
      <c r="D633" s="165" t="str">
        <f>IFERROR(VLOOKUP(C633,元件库!$B:$O,2,FALSE),"")</f>
        <v>精益联合集团</v>
      </c>
      <c r="E633" s="166" t="str">
        <f t="shared" si="233"/>
        <v>只</v>
      </c>
      <c r="F633" s="166">
        <v>6</v>
      </c>
      <c r="G633" s="42">
        <f t="shared" si="234"/>
        <v>13.750000000000002</v>
      </c>
      <c r="H633" s="42">
        <f t="shared" si="235"/>
        <v>82.500000000000014</v>
      </c>
      <c r="I633" s="167"/>
      <c r="J633" s="168">
        <f t="shared" si="238"/>
        <v>1</v>
      </c>
      <c r="K633" s="169">
        <f t="shared" si="236"/>
        <v>13.750000000000002</v>
      </c>
      <c r="L633" s="170">
        <f>IFERROR(VLOOKUP(C633,元件库!$B:$O,10,FALSE),"1.00")</f>
        <v>0.55000000000000004</v>
      </c>
      <c r="M633" s="171">
        <f>IFERROR(VLOOKUP(C633,元件库!$B:$O,11,FALSE),"")</f>
        <v>25</v>
      </c>
      <c r="N633" s="172" t="str">
        <f t="shared" ca="1" si="237"/>
        <v/>
      </c>
      <c r="P633" s="161"/>
    </row>
    <row r="634" spans="1:23" s="173" customFormat="1" ht="16.5" customHeight="1" x14ac:dyDescent="0.2">
      <c r="A634" s="38">
        <f>COUNTIF($J$1:J634,"!")</f>
        <v>40</v>
      </c>
      <c r="B634" s="163" t="str">
        <f>IFERROR(VLOOKUP(C634,元件库!$B:$O,3,FALSE),"")</f>
        <v>氧化锌避雷器</v>
      </c>
      <c r="C634" s="164" t="s">
        <v>3048</v>
      </c>
      <c r="D634" s="165" t="str">
        <f>IFERROR(VLOOKUP(C634,元件库!$B:$O,2,FALSE),"")</f>
        <v>精益联合集团</v>
      </c>
      <c r="E634" s="166" t="str">
        <f t="shared" si="233"/>
        <v>只</v>
      </c>
      <c r="F634" s="166">
        <v>3</v>
      </c>
      <c r="G634" s="42">
        <f t="shared" si="234"/>
        <v>9.9</v>
      </c>
      <c r="H634" s="42">
        <f t="shared" si="235"/>
        <v>29.700000000000003</v>
      </c>
      <c r="I634" s="167"/>
      <c r="J634" s="168">
        <f t="shared" si="238"/>
        <v>1</v>
      </c>
      <c r="K634" s="169">
        <f t="shared" si="236"/>
        <v>9.9</v>
      </c>
      <c r="L634" s="170">
        <f>IFERROR(VLOOKUP(C634,元件库!$B:$O,10,FALSE),"1.00")</f>
        <v>0.55000000000000004</v>
      </c>
      <c r="M634" s="171">
        <f>IFERROR(VLOOKUP(C634,元件库!$B:$O,11,FALSE),"")</f>
        <v>18</v>
      </c>
      <c r="N634" s="172" t="str">
        <f t="shared" ca="1" si="237"/>
        <v/>
      </c>
      <c r="P634" s="161"/>
    </row>
    <row r="635" spans="1:23" s="173" customFormat="1" ht="16.5" customHeight="1" x14ac:dyDescent="0.2">
      <c r="A635" s="38">
        <f>COUNTIF($J$1:J635,"!")</f>
        <v>40</v>
      </c>
      <c r="B635" s="163" t="str">
        <f>IFERROR(VLOOKUP(C635,元件库!$B:$O,3,FALSE),"")</f>
        <v>智能电容器</v>
      </c>
      <c r="C635" s="164" t="s">
        <v>3149</v>
      </c>
      <c r="D635" s="165" t="str">
        <f>IFERROR(VLOOKUP(C635,元件库!$B:$O,2,FALSE),"")</f>
        <v>九康电气</v>
      </c>
      <c r="E635" s="166" t="str">
        <f t="shared" si="233"/>
        <v>只</v>
      </c>
      <c r="F635" s="166">
        <v>5</v>
      </c>
      <c r="G635" s="42">
        <f t="shared" si="234"/>
        <v>715</v>
      </c>
      <c r="H635" s="42">
        <f t="shared" si="235"/>
        <v>3575</v>
      </c>
      <c r="I635" s="167"/>
      <c r="J635" s="168">
        <f t="shared" si="238"/>
        <v>1</v>
      </c>
      <c r="K635" s="169">
        <f t="shared" si="236"/>
        <v>715</v>
      </c>
      <c r="L635" s="170">
        <f>IFERROR(VLOOKUP(C635,元件库!$B:$O,10,FALSE),"1.00")</f>
        <v>1</v>
      </c>
      <c r="M635" s="171">
        <f>IFERROR(VLOOKUP(C635,元件库!$B:$O,11,FALSE),"")</f>
        <v>715</v>
      </c>
      <c r="N635" s="172" t="str">
        <f t="shared" ca="1" si="237"/>
        <v/>
      </c>
      <c r="P635" s="161"/>
    </row>
    <row r="636" spans="1:23" s="173" customFormat="1" ht="16.5" customHeight="1" x14ac:dyDescent="0.2">
      <c r="A636" s="38">
        <f>COUNTIF($J$1:J636,"!")</f>
        <v>40</v>
      </c>
      <c r="B636" s="163" t="str">
        <f>IFERROR(VLOOKUP(C636,元件库!$B:$O,3,FALSE),"")</f>
        <v>补偿控制器</v>
      </c>
      <c r="C636" s="164" t="s">
        <v>3129</v>
      </c>
      <c r="D636" s="165" t="str">
        <f>IFERROR(VLOOKUP(C636,元件库!$B:$O,2,FALSE),"")</f>
        <v>九康电气</v>
      </c>
      <c r="E636" s="166" t="str">
        <f t="shared" si="233"/>
        <v>只</v>
      </c>
      <c r="F636" s="166">
        <v>1</v>
      </c>
      <c r="G636" s="42">
        <f t="shared" si="234"/>
        <v>320</v>
      </c>
      <c r="H636" s="42">
        <f t="shared" si="235"/>
        <v>320</v>
      </c>
      <c r="I636" s="167"/>
      <c r="J636" s="168">
        <f t="shared" si="238"/>
        <v>1</v>
      </c>
      <c r="K636" s="169">
        <f t="shared" si="236"/>
        <v>320</v>
      </c>
      <c r="L636" s="170">
        <f>IFERROR(VLOOKUP(C636,元件库!$B:$O,10,FALSE),"1.00")</f>
        <v>1</v>
      </c>
      <c r="M636" s="171">
        <f>IFERROR(VLOOKUP(C636,元件库!$B:$O,11,FALSE),"")</f>
        <v>320</v>
      </c>
      <c r="N636" s="172" t="str">
        <f t="shared" ca="1" si="237"/>
        <v/>
      </c>
      <c r="P636" s="161"/>
    </row>
    <row r="637" spans="1:23" s="173" customFormat="1" ht="16.5" customHeight="1" x14ac:dyDescent="0.2">
      <c r="A637" s="38">
        <f>COUNTIF($J$1:J637,"!")</f>
        <v>40</v>
      </c>
      <c r="B637" s="163" t="str">
        <f>IFERROR(VLOOKUP(C637,元件库!$B:$O,3,FALSE),"")</f>
        <v>指示灯</v>
      </c>
      <c r="C637" s="164" t="s">
        <v>3044</v>
      </c>
      <c r="D637" s="165" t="str">
        <f>IFERROR(VLOOKUP(C637,元件库!$B:$O,2,FALSE),"")</f>
        <v>精益联合集团</v>
      </c>
      <c r="E637" s="166" t="str">
        <f t="shared" si="233"/>
        <v>只</v>
      </c>
      <c r="F637" s="166">
        <v>5</v>
      </c>
      <c r="G637" s="42">
        <f t="shared" si="234"/>
        <v>2.3100000000000005</v>
      </c>
      <c r="H637" s="42">
        <f t="shared" si="235"/>
        <v>11.550000000000002</v>
      </c>
      <c r="I637" s="167"/>
      <c r="J637" s="168">
        <f t="shared" si="238"/>
        <v>1</v>
      </c>
      <c r="K637" s="169">
        <f t="shared" si="236"/>
        <v>2.3100000000000005</v>
      </c>
      <c r="L637" s="170">
        <f>IFERROR(VLOOKUP(C637,元件库!$B:$O,10,FALSE),"1.00")</f>
        <v>0.55000000000000004</v>
      </c>
      <c r="M637" s="171">
        <f>IFERROR(VLOOKUP(C637,元件库!$B:$O,11,FALSE),"")</f>
        <v>4.2</v>
      </c>
      <c r="N637" s="172" t="str">
        <f t="shared" ca="1" si="237"/>
        <v/>
      </c>
      <c r="P637" s="161"/>
    </row>
    <row r="638" spans="1:23" s="173" customFormat="1" ht="16.5" customHeight="1" x14ac:dyDescent="0.2">
      <c r="A638" s="38">
        <f>COUNTIF($J$1:J638,"!")</f>
        <v>40</v>
      </c>
      <c r="B638" s="163" t="str">
        <f>IFERROR(VLOOKUP(C638,元件库!$B:$O,3,FALSE),"")</f>
        <v>铜排</v>
      </c>
      <c r="C638" s="164" t="s">
        <v>1910</v>
      </c>
      <c r="D638" s="165" t="str">
        <f>IFERROR(VLOOKUP(C638,元件库!$B:$O,2,FALSE),"")</f>
        <v>欣利铜材</v>
      </c>
      <c r="E638" s="166" t="str">
        <f t="shared" si="233"/>
        <v>米</v>
      </c>
      <c r="F638" s="166">
        <v>6</v>
      </c>
      <c r="G638" s="42">
        <f t="shared" si="234"/>
        <v>45.656999999999996</v>
      </c>
      <c r="H638" s="42">
        <f t="shared" si="235"/>
        <v>273.94200000000001</v>
      </c>
      <c r="I638" s="167"/>
      <c r="J638" s="168">
        <f t="shared" si="238"/>
        <v>1</v>
      </c>
      <c r="K638" s="169">
        <f t="shared" si="236"/>
        <v>45.656999999999996</v>
      </c>
      <c r="L638" s="170">
        <f>IFERROR(VLOOKUP(C638,元件库!$B:$O,10,FALSE),"1.00")</f>
        <v>1</v>
      </c>
      <c r="M638" s="171">
        <f>IFERROR(VLOOKUP(C638,元件库!$B:$O,11,FALSE),"")</f>
        <v>45.656999999999996</v>
      </c>
      <c r="N638" s="172" t="str">
        <f t="shared" ca="1" si="237"/>
        <v/>
      </c>
      <c r="P638" s="161"/>
    </row>
    <row r="639" spans="1:23" s="175" customFormat="1" ht="16.5" customHeight="1" x14ac:dyDescent="0.2">
      <c r="A639" s="38">
        <f>COUNTIF($J$1:J639,"!")</f>
        <v>40</v>
      </c>
      <c r="B639" s="163" t="s">
        <v>2171</v>
      </c>
      <c r="C639" s="164" t="s">
        <v>1889</v>
      </c>
      <c r="D639" s="165" t="str">
        <f>IFERROR(VLOOKUP(C639,元件库!$B:$O,2,FALSE),"")</f>
        <v>欣利铜材</v>
      </c>
      <c r="E639" s="166" t="str">
        <f t="shared" si="233"/>
        <v>米</v>
      </c>
      <c r="F639" s="166">
        <f>1*(MID(O639,FIND("-",O639)+1,FIND("*",O639)-FIND("-",O639)-1)/1000*IF(B639="水平排",3,1))</f>
        <v>2.4000000000000004</v>
      </c>
      <c r="G639" s="42">
        <f t="shared" si="234"/>
        <v>182.62799999999999</v>
      </c>
      <c r="H639" s="42">
        <f t="shared" si="235"/>
        <v>438.30720000000002</v>
      </c>
      <c r="I639" s="167"/>
      <c r="J639" s="168">
        <f t="shared" si="238"/>
        <v>1</v>
      </c>
      <c r="K639" s="169">
        <f t="shared" si="236"/>
        <v>182.62799999999999</v>
      </c>
      <c r="L639" s="170">
        <f>IFERROR(VLOOKUP(C639,元件库!$B:$O,10,FALSE),"1.00")</f>
        <v>1</v>
      </c>
      <c r="M639" s="171">
        <f>IFERROR(VLOOKUP(C639,元件库!$B:$O,11,FALSE),"")</f>
        <v>182.62799999999999</v>
      </c>
      <c r="N639" s="172" t="str">
        <f t="shared" ca="1" si="237"/>
        <v/>
      </c>
      <c r="O639" s="174" t="str">
        <f>O643</f>
        <v>GGD-800*600*2000</v>
      </c>
    </row>
    <row r="640" spans="1:23" s="175" customFormat="1" ht="16.5" customHeight="1" x14ac:dyDescent="0.2">
      <c r="A640" s="38">
        <f>COUNTIF($J$1:J640,"!")</f>
        <v>40</v>
      </c>
      <c r="B640" s="163" t="s">
        <v>2725</v>
      </c>
      <c r="C640" s="164" t="s">
        <v>2326</v>
      </c>
      <c r="D640" s="165" t="str">
        <f>IFERROR(VLOOKUP(C640,元件库!$B:$O,2,FALSE),"")</f>
        <v>欣利铜材</v>
      </c>
      <c r="E640" s="166" t="str">
        <f t="shared" si="233"/>
        <v>米</v>
      </c>
      <c r="F640" s="166">
        <f>1*(MID(O640,FIND("-",O640)+1,FIND("*",O640)-FIND("-",O640)-1)/1000*IF(B640="水平排",3,1))</f>
        <v>0.8</v>
      </c>
      <c r="G640" s="42">
        <f t="shared" si="234"/>
        <v>81.167999999999992</v>
      </c>
      <c r="H640" s="42">
        <f t="shared" si="235"/>
        <v>64.934399999999997</v>
      </c>
      <c r="I640" s="167"/>
      <c r="J640" s="168">
        <f t="shared" si="238"/>
        <v>1</v>
      </c>
      <c r="K640" s="169">
        <f t="shared" si="236"/>
        <v>81.167999999999992</v>
      </c>
      <c r="L640" s="170">
        <f>IFERROR(VLOOKUP(C640,元件库!$B:$O,10,FALSE),"1.00")</f>
        <v>1</v>
      </c>
      <c r="M640" s="171">
        <f>IFERROR(VLOOKUP(C640,元件库!$B:$O,11,FALSE),"")</f>
        <v>81.167999999999992</v>
      </c>
      <c r="N640" s="172" t="str">
        <f t="shared" ca="1" si="237"/>
        <v/>
      </c>
      <c r="O640" s="176" t="str">
        <f>O643</f>
        <v>GGD-800*600*2000</v>
      </c>
    </row>
    <row r="641" spans="1:19" s="175" customFormat="1" ht="16.5" customHeight="1" x14ac:dyDescent="0.2">
      <c r="A641" s="38">
        <f>COUNTIF($J$1:J641,"!")</f>
        <v>40</v>
      </c>
      <c r="B641" s="163" t="s">
        <v>2172</v>
      </c>
      <c r="C641" s="164" t="s">
        <v>2326</v>
      </c>
      <c r="D641" s="165" t="str">
        <f>IFERROR(VLOOKUP(C641,元件库!$B:$O,2,FALSE),"")</f>
        <v>欣利铜材</v>
      </c>
      <c r="E641" s="166" t="str">
        <f t="shared" si="233"/>
        <v>米</v>
      </c>
      <c r="F641" s="166">
        <f>1*(MID(O641,FIND("-",O641)+1,FIND("*",O641)-FIND("-",O641)-1)/1000*IF(B641="水平排",3,1))</f>
        <v>0.8</v>
      </c>
      <c r="G641" s="42">
        <f t="shared" si="234"/>
        <v>81.167999999999992</v>
      </c>
      <c r="H641" s="42">
        <f t="shared" si="235"/>
        <v>64.934399999999997</v>
      </c>
      <c r="I641" s="167"/>
      <c r="J641" s="168">
        <f t="shared" si="238"/>
        <v>1</v>
      </c>
      <c r="K641" s="169">
        <f t="shared" si="236"/>
        <v>81.167999999999992</v>
      </c>
      <c r="L641" s="170">
        <f>IFERROR(VLOOKUP(C641,元件库!$B:$O,10,FALSE),"1.00")</f>
        <v>1</v>
      </c>
      <c r="M641" s="171">
        <f>IFERROR(VLOOKUP(C641,元件库!$B:$O,11,FALSE),"")</f>
        <v>81.167999999999992</v>
      </c>
      <c r="N641" s="172" t="str">
        <f t="shared" ca="1" si="237"/>
        <v/>
      </c>
      <c r="O641" s="176" t="str">
        <f>O643</f>
        <v>GGD-800*600*2000</v>
      </c>
    </row>
    <row r="642" spans="1:19" ht="16.5" customHeight="1" x14ac:dyDescent="0.2">
      <c r="A642" s="38">
        <f>COUNTIF($J$1:J642,"!")</f>
        <v>40</v>
      </c>
      <c r="B642" s="177" t="s">
        <v>107</v>
      </c>
      <c r="C642" s="164"/>
      <c r="D642" s="166"/>
      <c r="E642" s="166"/>
      <c r="F642" s="166"/>
      <c r="G642" s="42"/>
      <c r="H642" s="42"/>
      <c r="I642" s="178">
        <f>SUM(H630:H642)</f>
        <v>6603.3680000000004</v>
      </c>
      <c r="J642" s="168"/>
      <c r="K642" s="169"/>
      <c r="L642" s="170"/>
      <c r="M642" s="171"/>
      <c r="O642" s="174"/>
      <c r="P642" s="162"/>
    </row>
    <row r="643" spans="1:19" ht="16.5" customHeight="1" x14ac:dyDescent="0.2">
      <c r="A643" s="38">
        <f>COUNTIF($J$1:J643,"!")</f>
        <v>40</v>
      </c>
      <c r="B643" s="179" t="s">
        <v>47</v>
      </c>
      <c r="C643" s="164"/>
      <c r="D643" s="166"/>
      <c r="E643" s="166"/>
      <c r="F643" s="166"/>
      <c r="G643" s="42"/>
      <c r="H643" s="42">
        <f>IFERROR(J643*K643,"")</f>
        <v>800</v>
      </c>
      <c r="I643" s="167"/>
      <c r="J643" s="168">
        <f>P$1</f>
        <v>1</v>
      </c>
      <c r="K643" s="169">
        <f>L643*M643</f>
        <v>800</v>
      </c>
      <c r="L643" s="170" t="str">
        <f>IFERROR(VLOOKUP(C643,元件库!$B:$O,10,FALSE),"1.00")</f>
        <v>1.00</v>
      </c>
      <c r="M643" s="171">
        <f>IF(B643="成套费",IF(ISNUMBER(FIND("GGD",O643)),800,IF(OR(ISNUMBER(FIND("GCS",O643)),ISNUMBER(FIND("GCK",O643)),ISNUMBER(FIND("MNS",O643))),1000,"")),IF(B643="辅件费",IF(VLOOKUP(A644,A$1:B643,2,FALSE)="低压电容柜",500,300),""))</f>
        <v>800</v>
      </c>
      <c r="O643" s="180" t="str">
        <f>C630</f>
        <v>GGD-800*600*2000</v>
      </c>
    </row>
    <row r="644" spans="1:19" s="161" customFormat="1" ht="16.5" customHeight="1" x14ac:dyDescent="0.2">
      <c r="A644" s="38">
        <f>COUNTIF($J$1:J644,"!")</f>
        <v>40</v>
      </c>
      <c r="B644" s="179" t="s">
        <v>49</v>
      </c>
      <c r="C644" s="164"/>
      <c r="D644" s="166"/>
      <c r="E644" s="166"/>
      <c r="F644" s="166"/>
      <c r="G644" s="42"/>
      <c r="H644" s="42">
        <f>IFERROR(J644*K644,"")</f>
        <v>500</v>
      </c>
      <c r="I644" s="167"/>
      <c r="J644" s="168">
        <f>P$1</f>
        <v>1</v>
      </c>
      <c r="K644" s="169">
        <f>L644*M644</f>
        <v>500</v>
      </c>
      <c r="L644" s="170" t="str">
        <f>IFERROR(VLOOKUP(C644,元件库!$B:$O,10,FALSE),"1.00")</f>
        <v>1.00</v>
      </c>
      <c r="M644" s="171">
        <f>IF(B644="成套费",IF(ISNUMBER(FIND("GGD",O644)),800,IF(OR(ISNUMBER(FIND("GCS",O644)),ISNUMBER(FIND("GCK",O644)),ISNUMBER(FIND("MNS",O644))),1000,"")),IF(B644="辅件费",IF(VLOOKUP(A644,A$1:B644,2,FALSE)="低压电容柜",500,300),""))</f>
        <v>500</v>
      </c>
      <c r="N644" s="181"/>
      <c r="O644" s="182" t="str">
        <f>O643</f>
        <v>GGD-800*600*2000</v>
      </c>
      <c r="R644" s="162"/>
      <c r="S644" s="162"/>
    </row>
    <row r="645" spans="1:19" s="161" customFormat="1" ht="16.5" customHeight="1" x14ac:dyDescent="0.2">
      <c r="A645" s="38">
        <f>COUNTIF($J$1:J645,"!")</f>
        <v>40</v>
      </c>
      <c r="B645" s="179" t="s">
        <v>79</v>
      </c>
      <c r="C645" s="164"/>
      <c r="D645" s="166"/>
      <c r="E645" s="166"/>
      <c r="F645" s="166"/>
      <c r="G645" s="42"/>
      <c r="H645" s="42">
        <f>K645*L645</f>
        <v>948.40416000000005</v>
      </c>
      <c r="I645" s="167"/>
      <c r="J645" s="168"/>
      <c r="K645" s="169">
        <f>SUM(H642:H644)+I642</f>
        <v>7903.3680000000004</v>
      </c>
      <c r="L645" s="279">
        <f>R$1</f>
        <v>0.12</v>
      </c>
      <c r="M645" s="171"/>
      <c r="N645" s="181"/>
      <c r="O645" s="162"/>
      <c r="R645" s="162"/>
      <c r="S645" s="162"/>
    </row>
    <row r="646" spans="1:19" ht="16.5" customHeight="1" x14ac:dyDescent="0.2">
      <c r="A646" s="38">
        <f>COUNTIF($J$1:J646,"!")</f>
        <v>40</v>
      </c>
      <c r="B646" s="179" t="s">
        <v>108</v>
      </c>
      <c r="C646" s="164"/>
      <c r="D646" s="166"/>
      <c r="E646" s="166"/>
      <c r="F646" s="166"/>
      <c r="G646" s="184"/>
      <c r="H646" s="42">
        <f>K646*L646</f>
        <v>265.55316479999999</v>
      </c>
      <c r="I646" s="167"/>
      <c r="J646" s="168"/>
      <c r="K646" s="169">
        <f>H645+K645</f>
        <v>8851.7721600000004</v>
      </c>
      <c r="L646" s="279">
        <f>T$1</f>
        <v>0.03</v>
      </c>
      <c r="M646" s="171"/>
      <c r="O646" s="162"/>
    </row>
    <row r="647" spans="1:19" ht="16.5" customHeight="1" x14ac:dyDescent="0.15">
      <c r="A647" s="32">
        <f>COUNTIF($J$1:J647,"!")</f>
        <v>41</v>
      </c>
      <c r="B647" s="33" t="s">
        <v>2726</v>
      </c>
      <c r="C647" s="158" t="s">
        <v>3173</v>
      </c>
      <c r="D647" s="159" t="s">
        <v>3167</v>
      </c>
      <c r="E647" s="34" t="s">
        <v>23</v>
      </c>
      <c r="F647" s="159">
        <v>2</v>
      </c>
      <c r="G647" s="36">
        <f>ROUND(SUM(H648:H663),0)</f>
        <v>8797</v>
      </c>
      <c r="H647" s="160" t="str">
        <f>IF(ISNUMBER(FIND(" ",C648)),MID(C648,1,FIND(" ",C648)-1),IF(ISNUMBER(FIND("电容柜",B647)),"GGJ",MID(C648,1,FIND("-",C648)-1)))</f>
        <v>GGD</v>
      </c>
      <c r="I647" s="47" t="str">
        <f>MID(C648,IF(LEN(C648)-LEN(H647)&gt;3,LEN(H647)+2,1),30)</f>
        <v>1200*600*2000</v>
      </c>
      <c r="J647" s="48" t="s">
        <v>24</v>
      </c>
      <c r="K647" s="49"/>
      <c r="L647" s="50"/>
      <c r="M647" s="51"/>
      <c r="O647" s="162"/>
    </row>
    <row r="648" spans="1:19" ht="16.5" customHeight="1" x14ac:dyDescent="0.2">
      <c r="A648" s="38">
        <f>COUNTIF($J$1:J648,"!")</f>
        <v>41</v>
      </c>
      <c r="B648" s="163" t="str">
        <f>IFERROR(VLOOKUP(C648,元件库!$B:$O,3,FALSE),"")</f>
        <v>壳体W*D*H</v>
      </c>
      <c r="C648" s="164" t="s">
        <v>2888</v>
      </c>
      <c r="D648" s="165" t="str">
        <f>IFERROR(VLOOKUP(C648,元件库!$B:$O,2,FALSE),"")</f>
        <v>精益联合集团</v>
      </c>
      <c r="E648" s="166" t="str">
        <f t="shared" ref="E648:E658" si="239">IF(D648="欣利铜材","米",IF(B648="熔断器","套","只"))</f>
        <v>只</v>
      </c>
      <c r="F648" s="166">
        <v>1</v>
      </c>
      <c r="G648" s="42">
        <f t="shared" ref="G648:G658" si="240">IFERROR(J648*K648,"")</f>
        <v>1850</v>
      </c>
      <c r="H648" s="42">
        <f t="shared" ref="H648:H658" si="241">IFERROR(G648*F648,"")</f>
        <v>1850</v>
      </c>
      <c r="I648" s="167"/>
      <c r="J648" s="168">
        <f>P$1</f>
        <v>1</v>
      </c>
      <c r="K648" s="169">
        <f t="shared" ref="K648:K658" si="242">IFERROR(M648*L648,"")</f>
        <v>1850</v>
      </c>
      <c r="L648" s="170">
        <f>IFERROR(VLOOKUP(C648,元件库!$B:$O,10,FALSE),"1.00")</f>
        <v>1</v>
      </c>
      <c r="M648" s="171">
        <f>IFERROR(VLOOKUP(C648,元件库!$B:$O,11,FALSE),"")</f>
        <v>1850</v>
      </c>
      <c r="N648" s="172" t="str">
        <f t="shared" ref="N648:N658" ca="1" si="243">IF(AND(ISNUMBER(FIND("IF",_xlfn.FORMULATEXT(L648))),ISNUMBER(FIND("IF",_xlfn.FORMULATEXT(M648)))),"","值")</f>
        <v/>
      </c>
      <c r="O648" s="157" t="str">
        <f>B647</f>
        <v>低压馈线柜</v>
      </c>
    </row>
    <row r="649" spans="1:19" s="173" customFormat="1" ht="16.5" customHeight="1" x14ac:dyDescent="0.2">
      <c r="A649" s="38">
        <f>COUNTIF($J$1:J649,"!")</f>
        <v>41</v>
      </c>
      <c r="B649" s="163" t="str">
        <f>IFERROR(VLOOKUP(C649,元件库!$B:$O,3,FALSE),"")</f>
        <v>刀开关</v>
      </c>
      <c r="C649" s="164" t="s">
        <v>3051</v>
      </c>
      <c r="D649" s="165" t="str">
        <f>IFERROR(VLOOKUP(C649,元件库!$B:$O,2,FALSE),"")</f>
        <v>精益联合集团</v>
      </c>
      <c r="E649" s="166" t="str">
        <f t="shared" si="239"/>
        <v>只</v>
      </c>
      <c r="F649" s="166">
        <v>1</v>
      </c>
      <c r="G649" s="42">
        <f t="shared" si="240"/>
        <v>573.1</v>
      </c>
      <c r="H649" s="42">
        <f t="shared" si="241"/>
        <v>573.1</v>
      </c>
      <c r="I649" s="167"/>
      <c r="J649" s="168">
        <f t="shared" ref="J649:J658" si="244">P$1</f>
        <v>1</v>
      </c>
      <c r="K649" s="169">
        <f t="shared" si="242"/>
        <v>573.1</v>
      </c>
      <c r="L649" s="170">
        <f>IFERROR(VLOOKUP(C649,元件库!$B:$O,10,FALSE),"1.00")</f>
        <v>0.55000000000000004</v>
      </c>
      <c r="M649" s="171">
        <f>IFERROR(VLOOKUP(C649,元件库!$B:$O,11,FALSE),"")</f>
        <v>1042</v>
      </c>
      <c r="N649" s="172" t="str">
        <f t="shared" ca="1" si="243"/>
        <v/>
      </c>
      <c r="P649" s="161"/>
    </row>
    <row r="650" spans="1:19" s="173" customFormat="1" ht="16.5" customHeight="1" x14ac:dyDescent="0.2">
      <c r="A650" s="38">
        <f>COUNTIF($J$1:J650,"!")</f>
        <v>41</v>
      </c>
      <c r="B650" s="163" t="str">
        <f>IFERROR(VLOOKUP(C650,元件库!$B:$O,3,FALSE),"")</f>
        <v>塑壳断路器</v>
      </c>
      <c r="C650" s="164" t="s">
        <v>3131</v>
      </c>
      <c r="D650" s="165" t="str">
        <f>IFERROR(VLOOKUP(C650,元件库!$B:$O,2,FALSE),"")</f>
        <v>吉坤电气</v>
      </c>
      <c r="E650" s="166" t="str">
        <f t="shared" si="239"/>
        <v>只</v>
      </c>
      <c r="F650" s="166">
        <v>5</v>
      </c>
      <c r="G650" s="42">
        <f t="shared" si="240"/>
        <v>329</v>
      </c>
      <c r="H650" s="42">
        <f t="shared" si="241"/>
        <v>1645</v>
      </c>
      <c r="I650" s="167"/>
      <c r="J650" s="168">
        <f t="shared" si="244"/>
        <v>1</v>
      </c>
      <c r="K650" s="169">
        <f t="shared" si="242"/>
        <v>329</v>
      </c>
      <c r="L650" s="170">
        <f>IFERROR(VLOOKUP(C650,元件库!$B:$O,10,FALSE),"1.00")</f>
        <v>1</v>
      </c>
      <c r="M650" s="171">
        <f>IFERROR(VLOOKUP(C650,元件库!$B:$O,11,FALSE),"")</f>
        <v>329</v>
      </c>
      <c r="N650" s="172" t="str">
        <f t="shared" ca="1" si="243"/>
        <v/>
      </c>
      <c r="P650" s="161"/>
    </row>
    <row r="651" spans="1:19" s="173" customFormat="1" ht="16.5" customHeight="1" x14ac:dyDescent="0.2">
      <c r="A651" s="38">
        <f>COUNTIF($J$1:J651,"!")</f>
        <v>41</v>
      </c>
      <c r="B651" s="163" t="str">
        <f>IFERROR(VLOOKUP(C651,元件库!$B:$O,3,FALSE),"")</f>
        <v/>
      </c>
      <c r="C651" s="164" t="s">
        <v>3151</v>
      </c>
      <c r="D651" s="165" t="str">
        <f>IFERROR(VLOOKUP(C651,元件库!$B:$O,2,FALSE),"")</f>
        <v/>
      </c>
      <c r="E651" s="166" t="str">
        <f t="shared" si="239"/>
        <v>只</v>
      </c>
      <c r="F651" s="166">
        <v>3</v>
      </c>
      <c r="G651" s="42" t="str">
        <f t="shared" si="240"/>
        <v/>
      </c>
      <c r="H651" s="42" t="str">
        <f t="shared" si="241"/>
        <v/>
      </c>
      <c r="I651" s="167"/>
      <c r="J651" s="168">
        <f t="shared" si="244"/>
        <v>1</v>
      </c>
      <c r="K651" s="169" t="str">
        <f t="shared" si="242"/>
        <v/>
      </c>
      <c r="L651" s="170" t="str">
        <f>IFERROR(VLOOKUP(C651,元件库!$B:$O,10,FALSE),"1.00")</f>
        <v>1.00</v>
      </c>
      <c r="M651" s="171" t="str">
        <f>IFERROR(VLOOKUP(C651,元件库!$B:$O,11,FALSE),"")</f>
        <v/>
      </c>
      <c r="N651" s="172" t="str">
        <f t="shared" ca="1" si="243"/>
        <v/>
      </c>
      <c r="P651" s="161"/>
    </row>
    <row r="652" spans="1:19" s="173" customFormat="1" ht="16.5" customHeight="1" x14ac:dyDescent="0.2">
      <c r="A652" s="38">
        <f>COUNTIF($J$1:J652,"!")</f>
        <v>41</v>
      </c>
      <c r="B652" s="163" t="str">
        <f>IFERROR(VLOOKUP(C652,元件库!$B:$O,3,FALSE),"")</f>
        <v>电流.电压表</v>
      </c>
      <c r="C652" s="164" t="s">
        <v>1899</v>
      </c>
      <c r="D652" s="165" t="str">
        <f>IFERROR(VLOOKUP(C652,元件库!$B:$O,2,FALSE),"")</f>
        <v>精益联合集团</v>
      </c>
      <c r="E652" s="166" t="str">
        <f t="shared" si="239"/>
        <v>只</v>
      </c>
      <c r="F652" s="166">
        <v>3</v>
      </c>
      <c r="G652" s="42">
        <f t="shared" si="240"/>
        <v>13.750000000000002</v>
      </c>
      <c r="H652" s="42">
        <f t="shared" si="241"/>
        <v>41.250000000000007</v>
      </c>
      <c r="I652" s="167"/>
      <c r="J652" s="168">
        <f t="shared" si="244"/>
        <v>1</v>
      </c>
      <c r="K652" s="169">
        <f t="shared" si="242"/>
        <v>13.750000000000002</v>
      </c>
      <c r="L652" s="170">
        <f>IFERROR(VLOOKUP(C652,元件库!$B:$O,10,FALSE),"1.00")</f>
        <v>0.55000000000000004</v>
      </c>
      <c r="M652" s="171">
        <f>IFERROR(VLOOKUP(C652,元件库!$B:$O,11,FALSE),"")</f>
        <v>25</v>
      </c>
      <c r="N652" s="172" t="str">
        <f t="shared" ca="1" si="243"/>
        <v/>
      </c>
      <c r="P652" s="161"/>
    </row>
    <row r="653" spans="1:19" s="173" customFormat="1" ht="16.5" customHeight="1" x14ac:dyDescent="0.2">
      <c r="A653" s="38">
        <f>COUNTIF($J$1:J653,"!")</f>
        <v>41</v>
      </c>
      <c r="B653" s="163" t="str">
        <f>IFERROR(VLOOKUP(C653,元件库!$B:$O,3,FALSE),"")</f>
        <v>指示灯</v>
      </c>
      <c r="C653" s="164" t="s">
        <v>3044</v>
      </c>
      <c r="D653" s="165" t="str">
        <f>IFERROR(VLOOKUP(C653,元件库!$B:$O,2,FALSE),"")</f>
        <v>精益联合集团</v>
      </c>
      <c r="E653" s="166" t="str">
        <f t="shared" si="239"/>
        <v>只</v>
      </c>
      <c r="F653" s="166">
        <v>5</v>
      </c>
      <c r="G653" s="42">
        <f t="shared" si="240"/>
        <v>2.3100000000000005</v>
      </c>
      <c r="H653" s="42">
        <f t="shared" si="241"/>
        <v>11.550000000000002</v>
      </c>
      <c r="I653" s="167"/>
      <c r="J653" s="168">
        <f t="shared" si="244"/>
        <v>1</v>
      </c>
      <c r="K653" s="169">
        <f t="shared" si="242"/>
        <v>2.3100000000000005</v>
      </c>
      <c r="L653" s="170">
        <f>IFERROR(VLOOKUP(C653,元件库!$B:$O,10,FALSE),"1.00")</f>
        <v>0.55000000000000004</v>
      </c>
      <c r="M653" s="171">
        <f>IFERROR(VLOOKUP(C653,元件库!$B:$O,11,FALSE),"")</f>
        <v>4.2</v>
      </c>
      <c r="N653" s="172" t="str">
        <f t="shared" ca="1" si="243"/>
        <v/>
      </c>
      <c r="P653" s="161"/>
    </row>
    <row r="654" spans="1:19" s="173" customFormat="1" ht="16.5" customHeight="1" x14ac:dyDescent="0.2">
      <c r="A654" s="38">
        <f>COUNTIF($J$1:J654,"!")</f>
        <v>41</v>
      </c>
      <c r="B654" s="163" t="str">
        <f>IFERROR(VLOOKUP(C654,元件库!$B:$O,3,FALSE),"")</f>
        <v>铜排</v>
      </c>
      <c r="C654" s="164" t="s">
        <v>1889</v>
      </c>
      <c r="D654" s="165" t="str">
        <f>IFERROR(VLOOKUP(C654,元件库!$B:$O,2,FALSE),"")</f>
        <v>欣利铜材</v>
      </c>
      <c r="E654" s="166" t="str">
        <f t="shared" si="239"/>
        <v>米</v>
      </c>
      <c r="F654" s="166">
        <v>6</v>
      </c>
      <c r="G654" s="42">
        <f t="shared" si="240"/>
        <v>182.62799999999999</v>
      </c>
      <c r="H654" s="42">
        <f t="shared" si="241"/>
        <v>1095.768</v>
      </c>
      <c r="I654" s="167"/>
      <c r="J654" s="168">
        <f t="shared" si="244"/>
        <v>1</v>
      </c>
      <c r="K654" s="169">
        <f t="shared" si="242"/>
        <v>182.62799999999999</v>
      </c>
      <c r="L654" s="170">
        <f>IFERROR(VLOOKUP(C654,元件库!$B:$O,10,FALSE),"1.00")</f>
        <v>1</v>
      </c>
      <c r="M654" s="171">
        <f>IFERROR(VLOOKUP(C654,元件库!$B:$O,11,FALSE),"")</f>
        <v>182.62799999999999</v>
      </c>
      <c r="N654" s="172" t="str">
        <f t="shared" ca="1" si="243"/>
        <v/>
      </c>
      <c r="P654" s="161"/>
    </row>
    <row r="655" spans="1:19" s="173" customFormat="1" ht="16.5" customHeight="1" x14ac:dyDescent="0.2">
      <c r="A655" s="38">
        <f>COUNTIF($J$1:J655,"!")</f>
        <v>41</v>
      </c>
      <c r="B655" s="163" t="str">
        <f>IFERROR(VLOOKUP(C655,元件库!$B:$O,3,FALSE),"")</f>
        <v>铜排</v>
      </c>
      <c r="C655" s="164" t="s">
        <v>1887</v>
      </c>
      <c r="D655" s="165" t="str">
        <f>IFERROR(VLOOKUP(C655,元件库!$B:$O,2,FALSE),"")</f>
        <v>欣利铜材</v>
      </c>
      <c r="E655" s="166" t="str">
        <f t="shared" si="239"/>
        <v>米</v>
      </c>
      <c r="F655" s="166">
        <v>6</v>
      </c>
      <c r="G655" s="42">
        <f t="shared" si="240"/>
        <v>76.094999999999999</v>
      </c>
      <c r="H655" s="42">
        <f t="shared" si="241"/>
        <v>456.57</v>
      </c>
      <c r="I655" s="167"/>
      <c r="J655" s="168">
        <f t="shared" si="244"/>
        <v>1</v>
      </c>
      <c r="K655" s="169">
        <f t="shared" si="242"/>
        <v>76.094999999999999</v>
      </c>
      <c r="L655" s="170">
        <f>IFERROR(VLOOKUP(C655,元件库!$B:$O,10,FALSE),"1.00")</f>
        <v>1</v>
      </c>
      <c r="M655" s="171">
        <f>IFERROR(VLOOKUP(C655,元件库!$B:$O,11,FALSE),"")</f>
        <v>76.094999999999999</v>
      </c>
      <c r="N655" s="172" t="str">
        <f t="shared" ca="1" si="243"/>
        <v/>
      </c>
      <c r="P655" s="161"/>
    </row>
    <row r="656" spans="1:19" s="175" customFormat="1" ht="16.5" customHeight="1" x14ac:dyDescent="0.2">
      <c r="A656" s="38">
        <f>COUNTIF($J$1:J656,"!")</f>
        <v>41</v>
      </c>
      <c r="B656" s="163" t="s">
        <v>2171</v>
      </c>
      <c r="C656" s="164" t="s">
        <v>1889</v>
      </c>
      <c r="D656" s="165" t="str">
        <f>IFERROR(VLOOKUP(C656,元件库!$B:$O,2,FALSE),"")</f>
        <v>欣利铜材</v>
      </c>
      <c r="E656" s="166" t="str">
        <f t="shared" si="239"/>
        <v>米</v>
      </c>
      <c r="F656" s="166">
        <f>1*(MID(O656,FIND("-",O656)+1,FIND("*",O656)-FIND("-",O656)-1)/1000*IF(B656="水平排",3,1))</f>
        <v>3.5999999999999996</v>
      </c>
      <c r="G656" s="42">
        <f t="shared" si="240"/>
        <v>182.62799999999999</v>
      </c>
      <c r="H656" s="42">
        <f t="shared" si="241"/>
        <v>657.46079999999984</v>
      </c>
      <c r="I656" s="167"/>
      <c r="J656" s="168">
        <f t="shared" si="244"/>
        <v>1</v>
      </c>
      <c r="K656" s="169">
        <f t="shared" si="242"/>
        <v>182.62799999999999</v>
      </c>
      <c r="L656" s="170">
        <f>IFERROR(VLOOKUP(C656,元件库!$B:$O,10,FALSE),"1.00")</f>
        <v>1</v>
      </c>
      <c r="M656" s="171">
        <f>IFERROR(VLOOKUP(C656,元件库!$B:$O,11,FALSE),"")</f>
        <v>182.62799999999999</v>
      </c>
      <c r="N656" s="172" t="str">
        <f t="shared" ca="1" si="243"/>
        <v/>
      </c>
      <c r="O656" s="174" t="str">
        <f>O660</f>
        <v>GGD-1200*600*2000</v>
      </c>
    </row>
    <row r="657" spans="1:22" s="175" customFormat="1" ht="16.5" customHeight="1" x14ac:dyDescent="0.2">
      <c r="A657" s="38">
        <f>COUNTIF($J$1:J657,"!")</f>
        <v>41</v>
      </c>
      <c r="B657" s="163" t="s">
        <v>2725</v>
      </c>
      <c r="C657" s="164" t="s">
        <v>2326</v>
      </c>
      <c r="D657" s="165" t="str">
        <f>IFERROR(VLOOKUP(C657,元件库!$B:$O,2,FALSE),"")</f>
        <v>欣利铜材</v>
      </c>
      <c r="E657" s="166" t="str">
        <f t="shared" si="239"/>
        <v>米</v>
      </c>
      <c r="F657" s="166">
        <f>1*(MID(O657,FIND("-",O657)+1,FIND("*",O657)-FIND("-",O657)-1)/1000*IF(B657="水平排",3,1))</f>
        <v>1.2</v>
      </c>
      <c r="G657" s="42">
        <f t="shared" si="240"/>
        <v>81.167999999999992</v>
      </c>
      <c r="H657" s="42">
        <f t="shared" si="241"/>
        <v>97.401599999999988</v>
      </c>
      <c r="I657" s="167"/>
      <c r="J657" s="168">
        <f t="shared" si="244"/>
        <v>1</v>
      </c>
      <c r="K657" s="169">
        <f t="shared" si="242"/>
        <v>81.167999999999992</v>
      </c>
      <c r="L657" s="170">
        <f>IFERROR(VLOOKUP(C657,元件库!$B:$O,10,FALSE),"1.00")</f>
        <v>1</v>
      </c>
      <c r="M657" s="171">
        <f>IFERROR(VLOOKUP(C657,元件库!$B:$O,11,FALSE),"")</f>
        <v>81.167999999999992</v>
      </c>
      <c r="N657" s="172" t="str">
        <f t="shared" ca="1" si="243"/>
        <v/>
      </c>
      <c r="O657" s="176" t="str">
        <f>O660</f>
        <v>GGD-1200*600*2000</v>
      </c>
    </row>
    <row r="658" spans="1:22" s="175" customFormat="1" ht="16.5" customHeight="1" x14ac:dyDescent="0.2">
      <c r="A658" s="38">
        <f>COUNTIF($J$1:J658,"!")</f>
        <v>41</v>
      </c>
      <c r="B658" s="163" t="s">
        <v>2172</v>
      </c>
      <c r="C658" s="164" t="s">
        <v>2326</v>
      </c>
      <c r="D658" s="165" t="str">
        <f>IFERROR(VLOOKUP(C658,元件库!$B:$O,2,FALSE),"")</f>
        <v>欣利铜材</v>
      </c>
      <c r="E658" s="166" t="str">
        <f t="shared" si="239"/>
        <v>米</v>
      </c>
      <c r="F658" s="166">
        <f>1*(MID(O658,FIND("-",O658)+1,FIND("*",O658)-FIND("-",O658)-1)/1000*IF(B658="水平排",3,1))</f>
        <v>1.2</v>
      </c>
      <c r="G658" s="42">
        <f t="shared" si="240"/>
        <v>81.167999999999992</v>
      </c>
      <c r="H658" s="42">
        <f t="shared" si="241"/>
        <v>97.401599999999988</v>
      </c>
      <c r="I658" s="167"/>
      <c r="J658" s="168">
        <f t="shared" si="244"/>
        <v>1</v>
      </c>
      <c r="K658" s="169">
        <f t="shared" si="242"/>
        <v>81.167999999999992</v>
      </c>
      <c r="L658" s="170">
        <f>IFERROR(VLOOKUP(C658,元件库!$B:$O,10,FALSE),"1.00")</f>
        <v>1</v>
      </c>
      <c r="M658" s="171">
        <f>IFERROR(VLOOKUP(C658,元件库!$B:$O,11,FALSE),"")</f>
        <v>81.167999999999992</v>
      </c>
      <c r="N658" s="172" t="str">
        <f t="shared" ca="1" si="243"/>
        <v/>
      </c>
      <c r="O658" s="176" t="str">
        <f>O660</f>
        <v>GGD-1200*600*2000</v>
      </c>
    </row>
    <row r="659" spans="1:22" ht="16.5" customHeight="1" x14ac:dyDescent="0.2">
      <c r="A659" s="38">
        <f>COUNTIF($J$1:J659,"!")</f>
        <v>41</v>
      </c>
      <c r="B659" s="177" t="s">
        <v>107</v>
      </c>
      <c r="C659" s="164"/>
      <c r="D659" s="166"/>
      <c r="E659" s="166"/>
      <c r="F659" s="166"/>
      <c r="G659" s="42"/>
      <c r="H659" s="42"/>
      <c r="I659" s="178">
        <f>SUM(H648:H659)</f>
        <v>6525.5020000000004</v>
      </c>
      <c r="J659" s="168"/>
      <c r="K659" s="169"/>
      <c r="L659" s="170"/>
      <c r="M659" s="171"/>
      <c r="O659" s="174"/>
      <c r="P659" s="162"/>
    </row>
    <row r="660" spans="1:22" ht="16.5" customHeight="1" x14ac:dyDescent="0.2">
      <c r="A660" s="38">
        <f>COUNTIF($J$1:J660,"!")</f>
        <v>41</v>
      </c>
      <c r="B660" s="179" t="s">
        <v>47</v>
      </c>
      <c r="C660" s="164"/>
      <c r="D660" s="166"/>
      <c r="E660" s="166"/>
      <c r="F660" s="166"/>
      <c r="G660" s="42"/>
      <c r="H660" s="42">
        <f>IFERROR(J660*K660,"")</f>
        <v>800</v>
      </c>
      <c r="I660" s="167"/>
      <c r="J660" s="168">
        <f>P$1</f>
        <v>1</v>
      </c>
      <c r="K660" s="169">
        <f>L660*M660</f>
        <v>800</v>
      </c>
      <c r="L660" s="170">
        <f>F648</f>
        <v>1</v>
      </c>
      <c r="M660" s="171">
        <f>IF(B660="成套费",IF(ISNUMBER(FIND("GGD",O660)),800,IF(OR(ISNUMBER(FIND("GCS",O660)),ISNUMBER(FIND("GCK",O660)),ISNUMBER(FIND("MNS",O660))),1000,"")),IF(B660="辅件费",IF(VLOOKUP(A661,A$1:B660,2,FALSE)="低压电容柜",500,300),""))</f>
        <v>800</v>
      </c>
      <c r="O660" s="180" t="str">
        <f>C648</f>
        <v>GGD-1200*600*2000</v>
      </c>
    </row>
    <row r="661" spans="1:22" s="161" customFormat="1" ht="16.5" customHeight="1" x14ac:dyDescent="0.2">
      <c r="A661" s="38">
        <f>COUNTIF($J$1:J661,"!")</f>
        <v>41</v>
      </c>
      <c r="B661" s="179" t="s">
        <v>49</v>
      </c>
      <c r="C661" s="164"/>
      <c r="D661" s="166"/>
      <c r="E661" s="166"/>
      <c r="F661" s="166"/>
      <c r="G661" s="42"/>
      <c r="H661" s="42">
        <f>IFERROR(J661*K661,"")</f>
        <v>300</v>
      </c>
      <c r="I661" s="167"/>
      <c r="J661" s="168">
        <f>P$1</f>
        <v>1</v>
      </c>
      <c r="K661" s="169">
        <f>L661*M661</f>
        <v>300</v>
      </c>
      <c r="L661" s="170">
        <f>F648</f>
        <v>1</v>
      </c>
      <c r="M661" s="171">
        <f>IF(B661="成套费",IF(ISNUMBER(FIND("GGD",O661)),800,IF(OR(ISNUMBER(FIND("GCS",O661)),ISNUMBER(FIND("GCK",O661)),ISNUMBER(FIND("MNS",O661))),1000,"")),IF(B661="辅件费",IF(VLOOKUP(A661,A$1:B661,2,FALSE)="低压电容柜",500,300),""))</f>
        <v>300</v>
      </c>
      <c r="N661" s="181"/>
      <c r="O661" s="182" t="str">
        <f>O660</f>
        <v>GGD-1200*600*2000</v>
      </c>
      <c r="R661" s="162"/>
      <c r="S661" s="162"/>
    </row>
    <row r="662" spans="1:22" s="161" customFormat="1" ht="16.5" customHeight="1" x14ac:dyDescent="0.2">
      <c r="A662" s="38">
        <f>COUNTIF($J$1:J662,"!")</f>
        <v>41</v>
      </c>
      <c r="B662" s="179" t="s">
        <v>79</v>
      </c>
      <c r="C662" s="164"/>
      <c r="D662" s="166"/>
      <c r="E662" s="166"/>
      <c r="F662" s="166"/>
      <c r="G662" s="42"/>
      <c r="H662" s="42">
        <f>K662*L662</f>
        <v>915.06024000000002</v>
      </c>
      <c r="I662" s="167"/>
      <c r="J662" s="168"/>
      <c r="K662" s="169">
        <f>SUM(H659:H661)+I659</f>
        <v>7625.5020000000004</v>
      </c>
      <c r="L662" s="279">
        <f>R$1</f>
        <v>0.12</v>
      </c>
      <c r="M662" s="171"/>
      <c r="N662" s="181"/>
      <c r="O662" s="162"/>
      <c r="R662" s="162"/>
      <c r="S662" s="162"/>
    </row>
    <row r="663" spans="1:22" ht="16.5" customHeight="1" x14ac:dyDescent="0.2">
      <c r="A663" s="38">
        <f>COUNTIF($J$1:J663,"!")</f>
        <v>41</v>
      </c>
      <c r="B663" s="179" t="s">
        <v>108</v>
      </c>
      <c r="C663" s="164"/>
      <c r="D663" s="166"/>
      <c r="E663" s="166"/>
      <c r="F663" s="166"/>
      <c r="G663" s="184"/>
      <c r="H663" s="42">
        <f>K663*L663</f>
        <v>256.21686720000002</v>
      </c>
      <c r="I663" s="167"/>
      <c r="J663" s="168"/>
      <c r="K663" s="169">
        <f>H662+K662</f>
        <v>8540.5622400000011</v>
      </c>
      <c r="L663" s="279">
        <f>T$1</f>
        <v>0.03</v>
      </c>
      <c r="M663" s="171"/>
      <c r="O663" s="162"/>
    </row>
    <row r="664" spans="1:22" ht="16.5" customHeight="1" x14ac:dyDescent="0.15">
      <c r="A664" s="32">
        <f>COUNTIF($J$1:J664,"!")</f>
        <v>42</v>
      </c>
      <c r="B664" s="33" t="s">
        <v>159</v>
      </c>
      <c r="C664" s="277" t="str">
        <f>LOOKUP(0,0/((RIGHT(B606:B664,3)="变压器")*(D606:D664=D664)),N606:N664)&amp;"10/0.4"</f>
        <v>500KVA 10/0.4</v>
      </c>
      <c r="D664" s="159" t="s">
        <v>3167</v>
      </c>
      <c r="E664" s="34" t="s">
        <v>23</v>
      </c>
      <c r="F664" s="159">
        <v>1</v>
      </c>
      <c r="G664" s="36">
        <f>ROUND(SUM(H665:H673),0)</f>
        <v>24745</v>
      </c>
      <c r="H664" s="160" t="str">
        <f>IF(ISNUMBER(FIND(" ",C665)),MID(C665,1,FIND(" ",C665)-1),IF(ISNUMBER(FIND("电容柜",B664)),"GGJ",MID(C665,1,FIND("-",C665)-1)))</f>
        <v>YBP</v>
      </c>
      <c r="I664" s="47" t="str">
        <f>MID(C665,IF(LEN(C665)-LEN(H664)&gt;3,LEN(H664)+2,1),30)</f>
        <v>4400*2300*2650</v>
      </c>
      <c r="J664" s="48" t="s">
        <v>24</v>
      </c>
      <c r="K664" s="49"/>
      <c r="L664" s="50"/>
      <c r="M664" s="51"/>
      <c r="O664" s="297"/>
      <c r="P664" s="161">
        <v>1650</v>
      </c>
      <c r="Q664" s="162">
        <v>2900</v>
      </c>
      <c r="R664" s="157">
        <v>1900</v>
      </c>
      <c r="S664" s="162">
        <v>1850</v>
      </c>
      <c r="T664" s="157">
        <v>3000</v>
      </c>
      <c r="U664" s="157">
        <v>2400</v>
      </c>
      <c r="V664" s="157">
        <v>3600</v>
      </c>
    </row>
    <row r="665" spans="1:22" ht="16.5" customHeight="1" x14ac:dyDescent="0.2">
      <c r="A665" s="38">
        <f>COUNTIF($J$1:J665,"!")</f>
        <v>42</v>
      </c>
      <c r="B665" s="163" t="s">
        <v>25</v>
      </c>
      <c r="C665" s="164" t="s">
        <v>3152</v>
      </c>
      <c r="D665" s="165" t="s">
        <v>3242</v>
      </c>
      <c r="E665" s="166" t="s">
        <v>29</v>
      </c>
      <c r="F665" s="166">
        <v>1</v>
      </c>
      <c r="G665" s="42">
        <f>IFERROR(J665*K665,"")</f>
        <v>15863.099999999999</v>
      </c>
      <c r="H665" s="42">
        <f>IFERROR(G665*F665,"")</f>
        <v>15863.099999999999</v>
      </c>
      <c r="I665" s="167"/>
      <c r="J665" s="168">
        <f>P$1</f>
        <v>1</v>
      </c>
      <c r="K665" s="169">
        <f>IFERROR(M665*L665,"")</f>
        <v>15863.099999999999</v>
      </c>
      <c r="L665" s="170">
        <v>0.95</v>
      </c>
      <c r="M665" s="171">
        <f>IFERROR(Q665*R665,"")</f>
        <v>16698</v>
      </c>
      <c r="N665" s="172" t="str">
        <f ca="1">IF(AND(ISNUMBER(FIND("IF",_xlfn.FORMULATEXT(L665))),ISNUMBER(FIND("IF",_xlfn.FORMULATEXT(M665)))),"","值")</f>
        <v>值</v>
      </c>
      <c r="O665" s="174" t="str">
        <f>O669</f>
        <v>YBP-4400*2300*2650</v>
      </c>
      <c r="P665" s="157" t="s">
        <v>2209</v>
      </c>
      <c r="Q665" s="300">
        <f>IF(P665=304,V664,IF(P665=201,T664,IF(P665="彩钢板",P664,IF(P665="敷铝锌贴木条",Q664,IF(P665="金属雕花",U664,IF(P665="GRC",R664,IF(P665="水泥变",S664,)))))))</f>
        <v>1650</v>
      </c>
      <c r="R665" s="161">
        <f>(MID(C665,FIND("-",C665)+1,FIND("*",C665)-FIND("-",C665)-1)*MID(C665,FIND("*",C665)+1,FIND("*",MID(C665,FIND("*",C665)+1,30))-1))/1000000*IF(ROUND(RIGHT(C665,4),0)&gt;2650,1/2.65*2.95,1)</f>
        <v>10.119999999999999</v>
      </c>
    </row>
    <row r="666" spans="1:22" s="175" customFormat="1" ht="16.5" customHeight="1" x14ac:dyDescent="0.2">
      <c r="A666" s="38">
        <f>COUNTIF($J$1:J666,"!")</f>
        <v>42</v>
      </c>
      <c r="B666" s="163" t="str">
        <f>IFERROR(VLOOKUP(C666,元件库!$B:$O,3,FALSE),"")</f>
        <v>铜排</v>
      </c>
      <c r="C666" s="164" t="s">
        <v>1889</v>
      </c>
      <c r="D666" s="165" t="str">
        <f>IFERROR(VLOOKUP(C666,元件库!$B:$O,2,FALSE),"")</f>
        <v>欣利铜材</v>
      </c>
      <c r="E666" s="166" t="str">
        <f>IF(D666="欣利铜材","米",IF(B666="氧化锌避雷器","组","只"))</f>
        <v>米</v>
      </c>
      <c r="F666" s="166">
        <v>8</v>
      </c>
      <c r="G666" s="42">
        <f>IFERROR(J666*K666,"")</f>
        <v>182.62799999999999</v>
      </c>
      <c r="H666" s="42">
        <f>IFERROR(G666*F666,"")</f>
        <v>1461.0239999999999</v>
      </c>
      <c r="I666" s="167"/>
      <c r="J666" s="168">
        <f>P$1</f>
        <v>1</v>
      </c>
      <c r="K666" s="169">
        <f>IFERROR(M666*L666,"")</f>
        <v>182.62799999999999</v>
      </c>
      <c r="L666" s="170">
        <f>IFERROR(VLOOKUP(C666,元件库!$B:$O,10,FALSE),"1.00")</f>
        <v>1</v>
      </c>
      <c r="M666" s="171">
        <f>IFERROR(VLOOKUP(C666,元件库!$B:$O,11,FALSE),"")</f>
        <v>182.62799999999999</v>
      </c>
      <c r="N666" s="172" t="str">
        <f ca="1">IF(AND(ISNUMBER(FIND("IF",_xlfn.FORMULATEXT(L666))),ISNUMBER(FIND("IF",_xlfn.FORMULATEXT(M666)))),"","值")</f>
        <v/>
      </c>
      <c r="O666" s="174" t="str">
        <f>O669</f>
        <v>YBP-4400*2300*2650</v>
      </c>
    </row>
    <row r="667" spans="1:22" s="173" customFormat="1" ht="16.5" customHeight="1" x14ac:dyDescent="0.2">
      <c r="A667" s="38">
        <f>COUNTIF($J$1:J667,"!")</f>
        <v>42</v>
      </c>
      <c r="B667" s="163" t="str">
        <f>IFERROR(VLOOKUP(C667,元件库!$B:$O,3,FALSE),"")</f>
        <v>铜排</v>
      </c>
      <c r="C667" s="164" t="s">
        <v>1889</v>
      </c>
      <c r="D667" s="165" t="str">
        <f>IFERROR(VLOOKUP(C667,元件库!$B:$O,2,FALSE),"")</f>
        <v>欣利铜材</v>
      </c>
      <c r="E667" s="166" t="s">
        <v>39</v>
      </c>
      <c r="F667" s="166">
        <v>10</v>
      </c>
      <c r="G667" s="42">
        <f>IFERROR(J667*K667,"")</f>
        <v>182.62799999999999</v>
      </c>
      <c r="H667" s="42">
        <f>IFERROR(G667*F667,"")</f>
        <v>1826.2799999999997</v>
      </c>
      <c r="I667" s="167"/>
      <c r="J667" s="168">
        <f>P$1</f>
        <v>1</v>
      </c>
      <c r="K667" s="169">
        <f>IFERROR(M667*L667,"")</f>
        <v>182.62799999999999</v>
      </c>
      <c r="L667" s="170">
        <f>IFERROR(VLOOKUP(C667,元件库!$B:$O,10,FALSE),"1.00")</f>
        <v>1</v>
      </c>
      <c r="M667" s="171">
        <f>IFERROR(VLOOKUP(C667,元件库!$B:$O,11,FALSE),"")</f>
        <v>182.62799999999999</v>
      </c>
      <c r="N667" s="172" t="str">
        <f ca="1">IF(AND(ISNUMBER(FIND("IF",_xlfn.FORMULATEXT(L667))),ISNUMBER(FIND("IF",_xlfn.FORMULATEXT(M667)))),"","值")</f>
        <v/>
      </c>
      <c r="O667" s="174" t="str">
        <f>O669</f>
        <v>YBP-4400*2300*2650</v>
      </c>
      <c r="P667" s="161"/>
    </row>
    <row r="668" spans="1:22" ht="16.5" customHeight="1" x14ac:dyDescent="0.2">
      <c r="A668" s="38">
        <f>COUNTIF($J$1:J668,"!")</f>
        <v>42</v>
      </c>
      <c r="B668" s="177" t="s">
        <v>107</v>
      </c>
      <c r="C668" s="164"/>
      <c r="D668" s="166"/>
      <c r="E668" s="166"/>
      <c r="F668" s="166"/>
      <c r="G668" s="42"/>
      <c r="H668" s="42"/>
      <c r="I668" s="178">
        <f>SUM(H665:H668)</f>
        <v>19150.403999999999</v>
      </c>
      <c r="J668" s="168"/>
      <c r="K668" s="169"/>
      <c r="L668" s="170"/>
      <c r="M668" s="171"/>
      <c r="O668" s="174"/>
      <c r="P668" s="162"/>
      <c r="Q668" s="157"/>
    </row>
    <row r="669" spans="1:22" ht="16.5" customHeight="1" x14ac:dyDescent="0.2">
      <c r="A669" s="38">
        <f>COUNTIF($J$1:J669,"!")</f>
        <v>42</v>
      </c>
      <c r="B669" s="179" t="s">
        <v>47</v>
      </c>
      <c r="C669" s="164"/>
      <c r="D669" s="166"/>
      <c r="E669" s="166"/>
      <c r="F669" s="166"/>
      <c r="G669" s="42"/>
      <c r="H669" s="42">
        <f>IFERROR(J669*K669*L669,"")</f>
        <v>1500</v>
      </c>
      <c r="I669" s="167"/>
      <c r="J669" s="168">
        <f>P$1</f>
        <v>1</v>
      </c>
      <c r="K669" s="169">
        <f>IFERROR(M669*L669,"")</f>
        <v>1500</v>
      </c>
      <c r="L669" s="170" t="str">
        <f>IFERROR(VLOOKUP(C669,元件库!$B:$O,10,FALSE),"1.00")</f>
        <v>1.00</v>
      </c>
      <c r="M669" s="171">
        <v>1500</v>
      </c>
      <c r="O669" s="174" t="str">
        <f>LOOKUP(0,0/((A664:A668=A669)*(B664:B668="壳体W*D*H")),C664:C668)</f>
        <v>YBP-4400*2300*2650</v>
      </c>
    </row>
    <row r="670" spans="1:22" s="161" customFormat="1" ht="16.5" customHeight="1" x14ac:dyDescent="0.2">
      <c r="A670" s="38">
        <f>COUNTIF($J$1:J670,"!")</f>
        <v>42</v>
      </c>
      <c r="B670" s="179" t="s">
        <v>49</v>
      </c>
      <c r="C670" s="164"/>
      <c r="D670" s="166"/>
      <c r="E670" s="166"/>
      <c r="F670" s="166"/>
      <c r="G670" s="42"/>
      <c r="H670" s="42">
        <f>IFERROR(J670*K670*L670,"")</f>
        <v>500</v>
      </c>
      <c r="I670" s="167"/>
      <c r="J670" s="168">
        <f>P$1</f>
        <v>1</v>
      </c>
      <c r="K670" s="169">
        <f>IFERROR(M670*L670,"")</f>
        <v>500</v>
      </c>
      <c r="L670" s="170" t="str">
        <f>IFERROR(VLOOKUP(C670,元件库!$B:$O,10,FALSE),"1.00")</f>
        <v>1.00</v>
      </c>
      <c r="M670" s="171">
        <v>500</v>
      </c>
      <c r="N670" s="181"/>
      <c r="O670" s="174" t="str">
        <f>O669</f>
        <v>YBP-4400*2300*2650</v>
      </c>
      <c r="Q670" s="162"/>
      <c r="R670" s="162"/>
      <c r="S670" s="162"/>
    </row>
    <row r="671" spans="1:22" s="161" customFormat="1" ht="16.5" customHeight="1" x14ac:dyDescent="0.2">
      <c r="A671" s="38">
        <f>COUNTIF($J$1:J671,"!")</f>
        <v>42</v>
      </c>
      <c r="B671" s="179" t="s">
        <v>50</v>
      </c>
      <c r="C671" s="164"/>
      <c r="D671" s="166"/>
      <c r="E671" s="166"/>
      <c r="F671" s="166"/>
      <c r="G671" s="42"/>
      <c r="H671" s="42">
        <f>IFERROR(J671*K671*L671,"")</f>
        <v>300</v>
      </c>
      <c r="I671" s="167"/>
      <c r="J671" s="168">
        <f>P$1</f>
        <v>1</v>
      </c>
      <c r="K671" s="169">
        <f>IFERROR(M671*L671,"")</f>
        <v>300</v>
      </c>
      <c r="L671" s="170" t="str">
        <f>IFERROR(VLOOKUP(C671,元件库!$B:$O,10,FALSE),"1.00")</f>
        <v>1.00</v>
      </c>
      <c r="M671" s="171">
        <v>300</v>
      </c>
      <c r="N671" s="181"/>
      <c r="O671" s="174"/>
      <c r="Q671" s="162"/>
      <c r="R671" s="162"/>
      <c r="S671" s="162"/>
    </row>
    <row r="672" spans="1:22" s="161" customFormat="1" ht="16.5" customHeight="1" x14ac:dyDescent="0.2">
      <c r="A672" s="38">
        <f>COUNTIF($J$1:J672,"!")</f>
        <v>42</v>
      </c>
      <c r="B672" s="179" t="s">
        <v>79</v>
      </c>
      <c r="C672" s="164"/>
      <c r="D672" s="166"/>
      <c r="E672" s="166"/>
      <c r="F672" s="166"/>
      <c r="G672" s="42"/>
      <c r="H672" s="42">
        <f>K672*L672</f>
        <v>2574.0484799999999</v>
      </c>
      <c r="I672" s="167"/>
      <c r="J672" s="168"/>
      <c r="K672" s="169">
        <f>SUM(H669:H671)+I668</f>
        <v>21450.403999999999</v>
      </c>
      <c r="L672" s="279">
        <f>R$1</f>
        <v>0.12</v>
      </c>
      <c r="M672" s="171"/>
      <c r="N672" s="181"/>
      <c r="O672" s="174"/>
      <c r="Q672" s="162"/>
      <c r="R672" s="162"/>
      <c r="S672" s="162"/>
    </row>
    <row r="673" spans="1:23" ht="16.5" customHeight="1" x14ac:dyDescent="0.2">
      <c r="A673" s="38">
        <f>COUNTIF($J$1:J673,"!")</f>
        <v>42</v>
      </c>
      <c r="B673" s="179" t="s">
        <v>108</v>
      </c>
      <c r="C673" s="164"/>
      <c r="D673" s="166"/>
      <c r="E673" s="166"/>
      <c r="F673" s="166"/>
      <c r="G673" s="184"/>
      <c r="H673" s="42">
        <f>K673*L673</f>
        <v>720.73357439999995</v>
      </c>
      <c r="I673" s="167"/>
      <c r="J673" s="168"/>
      <c r="K673" s="169">
        <f>H672+K672</f>
        <v>24024.45248</v>
      </c>
      <c r="L673" s="279">
        <f>T$1</f>
        <v>0.03</v>
      </c>
      <c r="M673" s="171"/>
    </row>
    <row r="674" spans="1:23" s="162" customFormat="1" ht="16.5" customHeight="1" x14ac:dyDescent="0.15">
      <c r="A674" s="32">
        <f>COUNTIF($J$1:J674,"!")</f>
        <v>43</v>
      </c>
      <c r="B674" s="33" t="s">
        <v>1895</v>
      </c>
      <c r="C674" s="296" t="s">
        <v>3174</v>
      </c>
      <c r="D674" s="159" t="s">
        <v>3175</v>
      </c>
      <c r="E674" s="34" t="s">
        <v>23</v>
      </c>
      <c r="F674" s="159">
        <v>1</v>
      </c>
      <c r="G674" s="36">
        <f>ROUND(SUM(H675:H696),0)</f>
        <v>7552</v>
      </c>
      <c r="H674" s="160" t="str">
        <f>IF(ISNUMBER(FIND(" ",C675)),MID(C675,1,FIND(" ",C675)-1),IF(ISNUMBER(FIND("电容柜",B674)),"GGJ",MID(C675,1,FIND("-",C675)-1)))</f>
        <v>HXGN</v>
      </c>
      <c r="I674" s="47" t="str">
        <f>MID(C675,IF(LEN(C675)-LEN(H674)&gt;3,LEN(H674)+2,1),30)</f>
        <v>500*900*2000</v>
      </c>
      <c r="J674" s="48" t="s">
        <v>24</v>
      </c>
      <c r="K674" s="49"/>
      <c r="L674" s="50"/>
      <c r="M674" s="51"/>
      <c r="N674" s="172"/>
      <c r="O674" s="161"/>
    </row>
    <row r="675" spans="1:23" s="162" customFormat="1" ht="16.5" customHeight="1" x14ac:dyDescent="0.2">
      <c r="A675" s="38">
        <f>COUNTIF($J$1:J675,"!")</f>
        <v>43</v>
      </c>
      <c r="B675" s="163" t="str">
        <f>IFERROR(VLOOKUP(C675,元件库!$B:$O,3,FALSE),"")</f>
        <v>壳体W*D*H</v>
      </c>
      <c r="C675" s="164" t="s">
        <v>3120</v>
      </c>
      <c r="D675" s="165" t="str">
        <f>IFERROR(VLOOKUP(C675,元件库!$B:$O,2,FALSE),"")</f>
        <v>精益联合集团</v>
      </c>
      <c r="E675" s="166" t="str">
        <f t="shared" ref="E675:E682" si="245">IF(D675="欣利铜材","米",IF(B675="氧化锌避雷器","组","只"))</f>
        <v>只</v>
      </c>
      <c r="F675" s="166">
        <v>1</v>
      </c>
      <c r="G675" s="42">
        <f t="shared" ref="G675:G682" si="246">IFERROR(J675*K675,"")</f>
        <v>1500</v>
      </c>
      <c r="H675" s="42">
        <f t="shared" ref="H675:H682" si="247">IFERROR(G675*F675,"")</f>
        <v>1500</v>
      </c>
      <c r="I675" s="167"/>
      <c r="J675" s="168">
        <f t="shared" ref="J675:J682" si="248">P$1</f>
        <v>1</v>
      </c>
      <c r="K675" s="169">
        <f t="shared" ref="K675:K682" si="249">IFERROR(M675*L675,"")</f>
        <v>1500</v>
      </c>
      <c r="L675" s="170">
        <f>IFERROR(VLOOKUP(C675,元件库!$B:$O,10,FALSE),"1.00")</f>
        <v>1</v>
      </c>
      <c r="M675" s="171">
        <f>IFERROR(VLOOKUP(C675,元件库!$B:$O,11,FALSE),"")</f>
        <v>1500</v>
      </c>
      <c r="N675" s="172" t="str">
        <f t="shared" ref="N675:N691" ca="1" si="250">IF(AND(ISNUMBER(FIND("IF",_xlfn.FORMULATEXT(L675))),ISNUMBER(FIND("IF",_xlfn.FORMULATEXT(M675)))),"","值")</f>
        <v/>
      </c>
      <c r="O675" s="157"/>
      <c r="P675" s="157"/>
    </row>
    <row r="676" spans="1:23" s="175" customFormat="1" ht="16.5" customHeight="1" x14ac:dyDescent="0.2">
      <c r="A676" s="38">
        <f>COUNTIF($J$1:J676,"!")</f>
        <v>43</v>
      </c>
      <c r="B676" s="163" t="str">
        <f>IFERROR(VLOOKUP(C676,元件库!$B:$O,3,FALSE),"")</f>
        <v>高压熔断器</v>
      </c>
      <c r="C676" s="164" t="s">
        <v>3041</v>
      </c>
      <c r="D676" s="165" t="str">
        <f>IFERROR(VLOOKUP(C676,元件库!$B:$O,2,FALSE),"")</f>
        <v>上海智广</v>
      </c>
      <c r="E676" s="166" t="str">
        <f t="shared" si="245"/>
        <v>只</v>
      </c>
      <c r="F676" s="166">
        <v>3</v>
      </c>
      <c r="G676" s="42">
        <f t="shared" si="246"/>
        <v>60</v>
      </c>
      <c r="H676" s="42">
        <f t="shared" si="247"/>
        <v>180</v>
      </c>
      <c r="I676" s="167"/>
      <c r="J676" s="168">
        <f t="shared" si="248"/>
        <v>1</v>
      </c>
      <c r="K676" s="169">
        <f t="shared" si="249"/>
        <v>60</v>
      </c>
      <c r="L676" s="170">
        <f>IFERROR(VLOOKUP(C676,元件库!$B:$O,10,FALSE),"1.00")</f>
        <v>1</v>
      </c>
      <c r="M676" s="171">
        <f>IFERROR(VLOOKUP(C676,元件库!$B:$O,11,FALSE),"")</f>
        <v>60</v>
      </c>
      <c r="N676" s="172" t="str">
        <f t="shared" ca="1" si="250"/>
        <v/>
      </c>
      <c r="O676" s="157"/>
      <c r="W676" s="162"/>
    </row>
    <row r="677" spans="1:23" s="175" customFormat="1" ht="16.5" customHeight="1" x14ac:dyDescent="0.2">
      <c r="A677" s="38">
        <f>COUNTIF($J$1:J677,"!")</f>
        <v>43</v>
      </c>
      <c r="B677" s="163" t="str">
        <f>IFERROR(VLOOKUP(C677,元件库!$B:$O,3,FALSE),"")</f>
        <v>电压互感器</v>
      </c>
      <c r="C677" s="164" t="s">
        <v>2135</v>
      </c>
      <c r="D677" s="165" t="str">
        <f>IFERROR(VLOOKUP(C677,元件库!$B:$O,2,FALSE),"")</f>
        <v>浙江泰成</v>
      </c>
      <c r="E677" s="166" t="str">
        <f t="shared" si="245"/>
        <v>只</v>
      </c>
      <c r="F677" s="166">
        <v>2</v>
      </c>
      <c r="G677" s="42">
        <f t="shared" si="246"/>
        <v>963</v>
      </c>
      <c r="H677" s="42">
        <f t="shared" si="247"/>
        <v>1926</v>
      </c>
      <c r="I677" s="167"/>
      <c r="J677" s="168">
        <f t="shared" si="248"/>
        <v>1</v>
      </c>
      <c r="K677" s="169">
        <f t="shared" si="249"/>
        <v>963</v>
      </c>
      <c r="L677" s="170">
        <f>IFERROR(VLOOKUP(C677,元件库!$B:$O,10,FALSE),"1.00")</f>
        <v>1</v>
      </c>
      <c r="M677" s="171">
        <f>IFERROR(VLOOKUP(C677,元件库!$B:$O,11,FALSE),"")</f>
        <v>963</v>
      </c>
      <c r="N677" s="172" t="str">
        <f t="shared" ca="1" si="250"/>
        <v/>
      </c>
      <c r="O677" s="157"/>
      <c r="W677" s="162"/>
    </row>
    <row r="678" spans="1:23" s="175" customFormat="1" ht="16.5" customHeight="1" x14ac:dyDescent="0.2">
      <c r="A678" s="38">
        <f>COUNTIF($J$1:J678,"!")</f>
        <v>43</v>
      </c>
      <c r="B678" s="163" t="str">
        <f>IFERROR(VLOOKUP(C678,元件库!$B:$O,3,FALSE),"")</f>
        <v>电流.电压表</v>
      </c>
      <c r="C678" s="164" t="s">
        <v>1899</v>
      </c>
      <c r="D678" s="165" t="str">
        <f>IFERROR(VLOOKUP(C678,元件库!$B:$O,2,FALSE),"")</f>
        <v>精益联合集团</v>
      </c>
      <c r="E678" s="166" t="str">
        <f t="shared" si="245"/>
        <v>只</v>
      </c>
      <c r="F678" s="166">
        <v>3</v>
      </c>
      <c r="G678" s="42">
        <f t="shared" si="246"/>
        <v>13.750000000000002</v>
      </c>
      <c r="H678" s="42">
        <f t="shared" si="247"/>
        <v>41.250000000000007</v>
      </c>
      <c r="I678" s="167"/>
      <c r="J678" s="168">
        <f t="shared" si="248"/>
        <v>1</v>
      </c>
      <c r="K678" s="169">
        <f t="shared" si="249"/>
        <v>13.750000000000002</v>
      </c>
      <c r="L678" s="170">
        <f>IFERROR(VLOOKUP(C678,元件库!$B:$O,10,FALSE),"1.00")</f>
        <v>0.55000000000000004</v>
      </c>
      <c r="M678" s="171">
        <f>IFERROR(VLOOKUP(C678,元件库!$B:$O,11,FALSE),"")</f>
        <v>25</v>
      </c>
      <c r="N678" s="172" t="str">
        <f t="shared" ca="1" si="250"/>
        <v/>
      </c>
      <c r="O678" s="157"/>
      <c r="W678" s="162"/>
    </row>
    <row r="679" spans="1:23" s="175" customFormat="1" ht="16.5" customHeight="1" x14ac:dyDescent="0.2">
      <c r="A679" s="38">
        <f>COUNTIF($J$1:J679,"!")</f>
        <v>43</v>
      </c>
      <c r="B679" s="163" t="str">
        <f>IFERROR(VLOOKUP(C679,元件库!$B:$O,3,FALSE),"")</f>
        <v>氧化锌避雷器</v>
      </c>
      <c r="C679" s="164" t="s">
        <v>1917</v>
      </c>
      <c r="D679" s="165" t="str">
        <f>IFERROR(VLOOKUP(C679,元件库!$B:$O,2,FALSE),"")</f>
        <v>雷恩电气</v>
      </c>
      <c r="E679" s="166" t="str">
        <f t="shared" si="245"/>
        <v>组</v>
      </c>
      <c r="F679" s="166">
        <v>1</v>
      </c>
      <c r="G679" s="42">
        <f t="shared" si="246"/>
        <v>200</v>
      </c>
      <c r="H679" s="42">
        <f t="shared" si="247"/>
        <v>200</v>
      </c>
      <c r="I679" s="167"/>
      <c r="J679" s="168">
        <f t="shared" si="248"/>
        <v>1</v>
      </c>
      <c r="K679" s="169">
        <f t="shared" si="249"/>
        <v>200</v>
      </c>
      <c r="L679" s="170">
        <f>IFERROR(VLOOKUP(C679,元件库!$B:$O,10,FALSE),"1.00")</f>
        <v>1</v>
      </c>
      <c r="M679" s="171">
        <f>IFERROR(VLOOKUP(C679,元件库!$B:$O,11,FALSE),"")</f>
        <v>200</v>
      </c>
      <c r="N679" s="172" t="str">
        <f t="shared" ca="1" si="250"/>
        <v/>
      </c>
      <c r="O679" s="157"/>
      <c r="W679" s="162"/>
    </row>
    <row r="680" spans="1:23" s="175" customFormat="1" ht="16.5" customHeight="1" x14ac:dyDescent="0.2">
      <c r="A680" s="38">
        <f>COUNTIF($J$1:J680,"!")</f>
        <v>43</v>
      </c>
      <c r="B680" s="163" t="str">
        <f>IFERROR(VLOOKUP(C680,元件库!$B:$O,3,FALSE),"")</f>
        <v>穿墙套管</v>
      </c>
      <c r="C680" s="164" t="s">
        <v>135</v>
      </c>
      <c r="D680" s="165" t="str">
        <f>IFERROR(VLOOKUP(C680,元件库!$B:$O,2,FALSE),"")</f>
        <v>福一开</v>
      </c>
      <c r="E680" s="166" t="str">
        <f t="shared" si="245"/>
        <v>只</v>
      </c>
      <c r="F680" s="166">
        <v>3</v>
      </c>
      <c r="G680" s="42">
        <f t="shared" si="246"/>
        <v>45</v>
      </c>
      <c r="H680" s="42">
        <f t="shared" si="247"/>
        <v>135</v>
      </c>
      <c r="I680" s="167"/>
      <c r="J680" s="168">
        <f t="shared" si="248"/>
        <v>1</v>
      </c>
      <c r="K680" s="169">
        <f t="shared" si="249"/>
        <v>45</v>
      </c>
      <c r="L680" s="170">
        <f>IFERROR(VLOOKUP(C680,元件库!$B:$O,10,FALSE),"1.00")</f>
        <v>1</v>
      </c>
      <c r="M680" s="171">
        <f>IFERROR(VLOOKUP(C680,元件库!$B:$O,11,FALSE),"")</f>
        <v>45</v>
      </c>
      <c r="N680" s="172" t="str">
        <f t="shared" ca="1" si="250"/>
        <v/>
      </c>
      <c r="O680" s="157"/>
      <c r="W680" s="162"/>
    </row>
    <row r="681" spans="1:23" s="175" customFormat="1" ht="16.5" customHeight="1" x14ac:dyDescent="0.2">
      <c r="A681" s="38">
        <f>COUNTIF($J$1:J681,"!")</f>
        <v>43</v>
      </c>
      <c r="B681" s="163" t="str">
        <f>IFERROR(VLOOKUP(C681,元件库!$B:$O,3,FALSE),"")</f>
        <v>支柱绝缘子</v>
      </c>
      <c r="C681" s="164" t="s">
        <v>136</v>
      </c>
      <c r="D681" s="165" t="str">
        <f>IFERROR(VLOOKUP(C681,元件库!$B:$O,2,FALSE),"")</f>
        <v>福一开</v>
      </c>
      <c r="E681" s="166" t="str">
        <f t="shared" si="245"/>
        <v>只</v>
      </c>
      <c r="F681" s="166">
        <v>3</v>
      </c>
      <c r="G681" s="42">
        <f t="shared" si="246"/>
        <v>22</v>
      </c>
      <c r="H681" s="42">
        <f t="shared" si="247"/>
        <v>66</v>
      </c>
      <c r="I681" s="167"/>
      <c r="J681" s="168">
        <f t="shared" si="248"/>
        <v>1</v>
      </c>
      <c r="K681" s="169">
        <f t="shared" si="249"/>
        <v>22</v>
      </c>
      <c r="L681" s="170">
        <f>IFERROR(VLOOKUP(C681,元件库!$B:$O,10,FALSE),"1.00")</f>
        <v>1</v>
      </c>
      <c r="M681" s="171">
        <f>IFERROR(VLOOKUP(C681,元件库!$B:$O,11,FALSE),"")</f>
        <v>22</v>
      </c>
      <c r="N681" s="172" t="str">
        <f t="shared" ca="1" si="250"/>
        <v/>
      </c>
      <c r="O681" s="157"/>
      <c r="W681" s="162"/>
    </row>
    <row r="682" spans="1:23" s="175" customFormat="1" ht="16.5" customHeight="1" x14ac:dyDescent="0.2">
      <c r="A682" s="38">
        <f>COUNTIF($J$1:J682,"!")</f>
        <v>43</v>
      </c>
      <c r="B682" s="163" t="str">
        <f>IFERROR(VLOOKUP(C682,元件库!$B:$O,3,FALSE),"")</f>
        <v>电压传感器</v>
      </c>
      <c r="C682" s="164" t="s">
        <v>137</v>
      </c>
      <c r="D682" s="165" t="str">
        <f>IFERROR(VLOOKUP(C682,元件库!$B:$O,2,FALSE),"")</f>
        <v>福一开</v>
      </c>
      <c r="E682" s="166" t="str">
        <f t="shared" si="245"/>
        <v>只</v>
      </c>
      <c r="F682" s="166">
        <v>1</v>
      </c>
      <c r="G682" s="42">
        <f t="shared" si="246"/>
        <v>93</v>
      </c>
      <c r="H682" s="42">
        <f t="shared" si="247"/>
        <v>93</v>
      </c>
      <c r="I682" s="167"/>
      <c r="J682" s="168">
        <f t="shared" si="248"/>
        <v>1</v>
      </c>
      <c r="K682" s="169">
        <f t="shared" si="249"/>
        <v>93</v>
      </c>
      <c r="L682" s="170">
        <f>IFERROR(VLOOKUP(C682,元件库!$B:$O,10,FALSE),"1.00")</f>
        <v>1</v>
      </c>
      <c r="M682" s="171">
        <f>IFERROR(VLOOKUP(C682,元件库!$B:$O,11,FALSE),"")</f>
        <v>93</v>
      </c>
      <c r="N682" s="172" t="str">
        <f t="shared" ca="1" si="250"/>
        <v/>
      </c>
      <c r="O682" s="157"/>
      <c r="W682" s="162"/>
    </row>
    <row r="683" spans="1:23" s="175" customFormat="1" ht="16.5" customHeight="1" x14ac:dyDescent="0.2">
      <c r="A683" s="38">
        <f>COUNTIF($J$1:J683,"!")</f>
        <v>43</v>
      </c>
      <c r="B683" s="163" t="str">
        <f>IFERROR(VLOOKUP(C683,元件库!$B:$O,3,FALSE),"")</f>
        <v>带电显示器</v>
      </c>
      <c r="C683" s="164" t="s">
        <v>1897</v>
      </c>
      <c r="D683" s="165" t="str">
        <f>IFERROR(VLOOKUP(C683,元件库!$B:$O,2,FALSE),"")</f>
        <v>江山鑫源</v>
      </c>
      <c r="E683" s="166" t="str">
        <f>IF(D683="欣利铜材","米",IF(B683="氧化锌避雷器","组","只"))</f>
        <v>只</v>
      </c>
      <c r="F683" s="166">
        <v>1</v>
      </c>
      <c r="G683" s="42">
        <f>IFERROR(J683*K683,"")</f>
        <v>33</v>
      </c>
      <c r="H683" s="42">
        <f>IFERROR(G683*F683,"")</f>
        <v>33</v>
      </c>
      <c r="I683" s="167"/>
      <c r="J683" s="168">
        <f>P$1</f>
        <v>1</v>
      </c>
      <c r="K683" s="169">
        <f>IFERROR(M683*L683,"")</f>
        <v>33</v>
      </c>
      <c r="L683" s="170">
        <f>IFERROR(VLOOKUP(C683,元件库!$B:$O,10,FALSE),"1.00")</f>
        <v>1</v>
      </c>
      <c r="M683" s="171">
        <f>IFERROR(VLOOKUP(C683,元件库!$B:$O,11,FALSE),"")</f>
        <v>33</v>
      </c>
      <c r="N683" s="172" t="str">
        <f t="shared" ca="1" si="250"/>
        <v/>
      </c>
      <c r="O683" s="157"/>
      <c r="W683" s="162"/>
    </row>
    <row r="684" spans="1:23" s="175" customFormat="1" ht="16.5" customHeight="1" x14ac:dyDescent="0.2">
      <c r="A684" s="38">
        <f>COUNTIF($J$1:J684,"!")</f>
        <v>43</v>
      </c>
      <c r="B684" s="163" t="str">
        <f>IFERROR(VLOOKUP(C684,元件库!$B:$O,3,FALSE),"")</f>
        <v>电磁锁</v>
      </c>
      <c r="C684" s="164" t="s">
        <v>98</v>
      </c>
      <c r="D684" s="165" t="str">
        <f>IFERROR(VLOOKUP(C684,元件库!$B:$O,2,FALSE),"")</f>
        <v>哈陆拉</v>
      </c>
      <c r="E684" s="166" t="str">
        <f>IF(D684="欣利铜材","米",IF(B684="氧化锌避雷器","组","只"))</f>
        <v>只</v>
      </c>
      <c r="F684" s="166">
        <v>1</v>
      </c>
      <c r="G684" s="42">
        <f>IFERROR(J684*K684,"")</f>
        <v>55</v>
      </c>
      <c r="H684" s="42">
        <f>IFERROR(G684*F684,"")</f>
        <v>55</v>
      </c>
      <c r="I684" s="167"/>
      <c r="J684" s="168">
        <f t="shared" ref="J684:J691" si="251">P$1</f>
        <v>1</v>
      </c>
      <c r="K684" s="169">
        <f>IFERROR(M684*L684,"")</f>
        <v>55</v>
      </c>
      <c r="L684" s="170">
        <f>IFERROR(VLOOKUP(C684,元件库!$B:$O,10,FALSE),"1.00")</f>
        <v>1</v>
      </c>
      <c r="M684" s="171">
        <f>IFERROR(VLOOKUP(C684,元件库!$B:$O,11,FALSE),"")</f>
        <v>55</v>
      </c>
      <c r="N684" s="172" t="str">
        <f t="shared" ca="1" si="250"/>
        <v/>
      </c>
      <c r="O684" s="157"/>
      <c r="W684" s="162"/>
    </row>
    <row r="685" spans="1:23" s="175" customFormat="1" ht="16.5" customHeight="1" x14ac:dyDescent="0.2">
      <c r="A685" s="38">
        <f>COUNTIF($J$1:J685,"!")</f>
        <v>43</v>
      </c>
      <c r="B685" s="163" t="str">
        <f>IFERROR(VLOOKUP(C685,元件库!$B:$O,3,FALSE),"")</f>
        <v>温湿度控制器</v>
      </c>
      <c r="C685" s="164" t="s">
        <v>153</v>
      </c>
      <c r="D685" s="165" t="str">
        <f>IFERROR(VLOOKUP(C685,元件库!$B:$O,2,FALSE),"")</f>
        <v>实德电气</v>
      </c>
      <c r="E685" s="166" t="str">
        <f t="shared" ref="E685:E691" si="252">IF(D685="欣利铜材","米",IF(B685="氧化锌避雷器","组","只"))</f>
        <v>只</v>
      </c>
      <c r="F685" s="166">
        <v>1</v>
      </c>
      <c r="G685" s="42">
        <f t="shared" ref="G685:G691" si="253">IFERROR(J685*K685,"")</f>
        <v>110</v>
      </c>
      <c r="H685" s="42">
        <f t="shared" ref="H685:H691" si="254">IFERROR(G685*F685,"")</f>
        <v>110</v>
      </c>
      <c r="I685" s="167"/>
      <c r="J685" s="168">
        <f t="shared" si="251"/>
        <v>1</v>
      </c>
      <c r="K685" s="169">
        <f t="shared" ref="K685:K691" si="255">IFERROR(M685*L685,"")</f>
        <v>110</v>
      </c>
      <c r="L685" s="170">
        <f>IFERROR(VLOOKUP(C685,元件库!$B:$O,10,FALSE),"1.00")</f>
        <v>1</v>
      </c>
      <c r="M685" s="171">
        <f>IFERROR(VLOOKUP(C685,元件库!$B:$O,11,FALSE),"")</f>
        <v>110</v>
      </c>
      <c r="N685" s="172" t="str">
        <f t="shared" ca="1" si="250"/>
        <v/>
      </c>
      <c r="O685" s="157"/>
    </row>
    <row r="686" spans="1:23" s="175" customFormat="1" ht="16.5" customHeight="1" x14ac:dyDescent="0.2">
      <c r="A686" s="38">
        <f>COUNTIF($J$1:J686,"!")</f>
        <v>43</v>
      </c>
      <c r="B686" s="163" t="str">
        <f>IFERROR(VLOOKUP(C686,元件库!$B:$O,3,FALSE),"")</f>
        <v>加热器</v>
      </c>
      <c r="C686" s="164" t="s">
        <v>101</v>
      </c>
      <c r="D686" s="165" t="str">
        <f>IFERROR(VLOOKUP(C686,元件库!$B:$O,2,FALSE),"")</f>
        <v>实德电气</v>
      </c>
      <c r="E686" s="166" t="str">
        <f t="shared" si="252"/>
        <v>只</v>
      </c>
      <c r="F686" s="166">
        <v>2</v>
      </c>
      <c r="G686" s="42">
        <f t="shared" si="253"/>
        <v>18</v>
      </c>
      <c r="H686" s="42">
        <f t="shared" si="254"/>
        <v>36</v>
      </c>
      <c r="I686" s="167"/>
      <c r="J686" s="168">
        <f t="shared" si="251"/>
        <v>1</v>
      </c>
      <c r="K686" s="169">
        <f t="shared" si="255"/>
        <v>18</v>
      </c>
      <c r="L686" s="170">
        <f>IFERROR(VLOOKUP(C686,元件库!$B:$O,10,FALSE),"1.00")</f>
        <v>1</v>
      </c>
      <c r="M686" s="171">
        <f>IFERROR(VLOOKUP(C686,元件库!$B:$O,11,FALSE),"")</f>
        <v>18</v>
      </c>
      <c r="N686" s="172" t="str">
        <f t="shared" ca="1" si="250"/>
        <v/>
      </c>
      <c r="O686" s="157"/>
    </row>
    <row r="687" spans="1:23" s="175" customFormat="1" ht="16.5" customHeight="1" x14ac:dyDescent="0.2">
      <c r="A687" s="38">
        <f>COUNTIF($J$1:J687,"!")</f>
        <v>43</v>
      </c>
      <c r="B687" s="163" t="str">
        <f>IFERROR(VLOOKUP(C687,元件库!$B:$O,3,FALSE),"")</f>
        <v>高压热缩管</v>
      </c>
      <c r="C687" s="185" t="str">
        <f>"10KV"&amp;MID(C690,4,10)</f>
        <v>10KV-60*6</v>
      </c>
      <c r="D687" s="165" t="str">
        <f>IFERROR(VLOOKUP(C687,元件库!$B:$O,2,FALSE),"")</f>
        <v>精益联合集团</v>
      </c>
      <c r="E687" s="166" t="str">
        <f t="shared" si="252"/>
        <v>只</v>
      </c>
      <c r="F687" s="166">
        <f>ROUND(SUM(F690:F691),0)</f>
        <v>2</v>
      </c>
      <c r="G687" s="42">
        <f t="shared" si="253"/>
        <v>12</v>
      </c>
      <c r="H687" s="42">
        <f t="shared" si="254"/>
        <v>24</v>
      </c>
      <c r="I687" s="167"/>
      <c r="J687" s="168">
        <f t="shared" si="251"/>
        <v>1</v>
      </c>
      <c r="K687" s="169">
        <f t="shared" si="255"/>
        <v>12</v>
      </c>
      <c r="L687" s="170">
        <f>IFERROR(VLOOKUP(C687,元件库!$B:$O,10,FALSE),"1.00")</f>
        <v>1</v>
      </c>
      <c r="M687" s="171">
        <f>IFERROR(VLOOKUP(C687,元件库!$B:$O,11,FALSE),"")</f>
        <v>12</v>
      </c>
      <c r="N687" s="172" t="str">
        <f t="shared" ca="1" si="250"/>
        <v/>
      </c>
      <c r="O687" s="157"/>
    </row>
    <row r="688" spans="1:23" s="175" customFormat="1" ht="16.5" customHeight="1" x14ac:dyDescent="0.2">
      <c r="A688" s="38">
        <f>COUNTIF($J$1:J688,"!")</f>
        <v>43</v>
      </c>
      <c r="B688" s="163" t="str">
        <f>IFERROR(VLOOKUP(C688,元件库!$B:$O,3,FALSE),"")</f>
        <v>铜排</v>
      </c>
      <c r="C688" s="185" t="s">
        <v>1889</v>
      </c>
      <c r="D688" s="165" t="str">
        <f>IFERROR(VLOOKUP(C688,元件库!$B:$O,2,FALSE),"")</f>
        <v>欣利铜材</v>
      </c>
      <c r="E688" s="166" t="str">
        <f t="shared" si="252"/>
        <v>米</v>
      </c>
      <c r="F688" s="166">
        <v>6</v>
      </c>
      <c r="G688" s="42">
        <f t="shared" si="253"/>
        <v>182.62799999999999</v>
      </c>
      <c r="H688" s="42">
        <f t="shared" si="254"/>
        <v>1095.768</v>
      </c>
      <c r="I688" s="167"/>
      <c r="J688" s="168">
        <f t="shared" si="251"/>
        <v>1</v>
      </c>
      <c r="K688" s="169">
        <f t="shared" si="255"/>
        <v>182.62799999999999</v>
      </c>
      <c r="L688" s="170">
        <f>IFERROR(VLOOKUP(C688,元件库!$B:$O,10,FALSE),"1.00")</f>
        <v>1</v>
      </c>
      <c r="M688" s="171">
        <f>IFERROR(VLOOKUP(C688,元件库!$B:$O,11,FALSE),"")</f>
        <v>182.62799999999999</v>
      </c>
      <c r="N688" s="172" t="str">
        <f t="shared" ca="1" si="250"/>
        <v/>
      </c>
      <c r="O688" s="174" t="str">
        <f>O691</f>
        <v>HXGN-500*900*2000</v>
      </c>
    </row>
    <row r="689" spans="1:23" s="175" customFormat="1" ht="16.5" customHeight="1" x14ac:dyDescent="0.2">
      <c r="A689" s="38">
        <f>COUNTIF($J$1:J689,"!")</f>
        <v>43</v>
      </c>
      <c r="B689" s="163" t="str">
        <f>IFERROR(VLOOKUP(C689,元件库!$B:$O,3,FALSE),"")</f>
        <v>铜排</v>
      </c>
      <c r="C689" s="185" t="s">
        <v>1910</v>
      </c>
      <c r="D689" s="165" t="str">
        <f>IFERROR(VLOOKUP(C689,元件库!$B:$O,2,FALSE),"")</f>
        <v>欣利铜材</v>
      </c>
      <c r="E689" s="166" t="str">
        <f t="shared" si="252"/>
        <v>米</v>
      </c>
      <c r="F689" s="166">
        <v>3</v>
      </c>
      <c r="G689" s="42">
        <f t="shared" si="253"/>
        <v>45.656999999999996</v>
      </c>
      <c r="H689" s="42">
        <f t="shared" si="254"/>
        <v>136.971</v>
      </c>
      <c r="I689" s="167"/>
      <c r="J689" s="168">
        <f t="shared" si="251"/>
        <v>1</v>
      </c>
      <c r="K689" s="169">
        <f t="shared" si="255"/>
        <v>45.656999999999996</v>
      </c>
      <c r="L689" s="170">
        <f>IFERROR(VLOOKUP(C689,元件库!$B:$O,10,FALSE),"1.00")</f>
        <v>1</v>
      </c>
      <c r="M689" s="171">
        <f>IFERROR(VLOOKUP(C689,元件库!$B:$O,11,FALSE),"")</f>
        <v>45.656999999999996</v>
      </c>
      <c r="N689" s="172" t="str">
        <f t="shared" ca="1" si="250"/>
        <v/>
      </c>
      <c r="O689" s="174">
        <f>O692</f>
        <v>0</v>
      </c>
    </row>
    <row r="690" spans="1:23" s="175" customFormat="1" ht="16.5" customHeight="1" x14ac:dyDescent="0.2">
      <c r="A690" s="38">
        <f>COUNTIF($J$1:J690,"!")</f>
        <v>43</v>
      </c>
      <c r="B690" s="163" t="s">
        <v>2171</v>
      </c>
      <c r="C690" s="185" t="s">
        <v>1889</v>
      </c>
      <c r="D690" s="165" t="str">
        <f>IFERROR(VLOOKUP(C690,元件库!$B:$O,2,FALSE),"")</f>
        <v>欣利铜材</v>
      </c>
      <c r="E690" s="166" t="str">
        <f t="shared" si="252"/>
        <v>米</v>
      </c>
      <c r="F690" s="166">
        <f>1*MID(O690,FIND("-",O690)+1,FIND("*",O690)-FIND("-",O690)-1)/1000*IF(B690="水平排",3,1)+IF(AND(B690="零母排",VLOOKUP(A690,A$1:B686,2,FALSE)="低压进线柜"),1.5,0)</f>
        <v>1.5</v>
      </c>
      <c r="G690" s="42">
        <f t="shared" si="253"/>
        <v>182.62799999999999</v>
      </c>
      <c r="H690" s="42">
        <f t="shared" si="254"/>
        <v>273.94200000000001</v>
      </c>
      <c r="I690" s="167"/>
      <c r="J690" s="168">
        <f t="shared" si="251"/>
        <v>1</v>
      </c>
      <c r="K690" s="169">
        <f t="shared" si="255"/>
        <v>182.62799999999999</v>
      </c>
      <c r="L690" s="170">
        <f>IFERROR(VLOOKUP(C690,元件库!$B:$O,10,FALSE),"1.00")</f>
        <v>1</v>
      </c>
      <c r="M690" s="171">
        <f>IFERROR(VLOOKUP(C690,元件库!$B:$O,11,FALSE),"")</f>
        <v>182.62799999999999</v>
      </c>
      <c r="N690" s="172" t="str">
        <f t="shared" ca="1" si="250"/>
        <v/>
      </c>
      <c r="O690" s="174" t="str">
        <f>O693</f>
        <v>HXGN-500*900*2000</v>
      </c>
    </row>
    <row r="691" spans="1:23" s="175" customFormat="1" ht="16.5" customHeight="1" x14ac:dyDescent="0.2">
      <c r="A691" s="38">
        <f>COUNTIF($J$1:J691,"!")</f>
        <v>43</v>
      </c>
      <c r="B691" s="163" t="s">
        <v>2172</v>
      </c>
      <c r="C691" s="185" t="s">
        <v>2326</v>
      </c>
      <c r="D691" s="165" t="str">
        <f>IFERROR(VLOOKUP(C691,元件库!$B:$O,2,FALSE),"")</f>
        <v>欣利铜材</v>
      </c>
      <c r="E691" s="166" t="str">
        <f t="shared" si="252"/>
        <v>米</v>
      </c>
      <c r="F691" s="166">
        <f>1*MID(O691,FIND("-",O691)+1,FIND("*",O691)-FIND("-",O691)-1)/1000*IF(B691="水平排",3,1)+IF(AND(B691="零母排",VLOOKUP(A691,A$1:B687,2,FALSE)="低压进线柜"),1.5,0)</f>
        <v>0.5</v>
      </c>
      <c r="G691" s="42">
        <f t="shared" si="253"/>
        <v>81.167999999999992</v>
      </c>
      <c r="H691" s="42">
        <f t="shared" si="254"/>
        <v>40.583999999999996</v>
      </c>
      <c r="I691" s="167"/>
      <c r="J691" s="168">
        <f t="shared" si="251"/>
        <v>1</v>
      </c>
      <c r="K691" s="169">
        <f t="shared" si="255"/>
        <v>81.167999999999992</v>
      </c>
      <c r="L691" s="170">
        <f>IFERROR(VLOOKUP(C691,元件库!$B:$O,10,FALSE),"1.00")</f>
        <v>1</v>
      </c>
      <c r="M691" s="171">
        <f>IFERROR(VLOOKUP(C691,元件库!$B:$O,11,FALSE),"")</f>
        <v>81.167999999999992</v>
      </c>
      <c r="N691" s="172" t="str">
        <f t="shared" ca="1" si="250"/>
        <v/>
      </c>
      <c r="O691" s="174" t="str">
        <f>O694</f>
        <v>HXGN-500*900*2000</v>
      </c>
    </row>
    <row r="692" spans="1:23" s="162" customFormat="1" ht="16.5" customHeight="1" x14ac:dyDescent="0.2">
      <c r="A692" s="38">
        <f>COUNTIF($J$1:J692,"!")</f>
        <v>43</v>
      </c>
      <c r="B692" s="177" t="s">
        <v>107</v>
      </c>
      <c r="C692" s="164"/>
      <c r="D692" s="166"/>
      <c r="E692" s="166"/>
      <c r="F692" s="166"/>
      <c r="G692" s="42"/>
      <c r="H692" s="42"/>
      <c r="I692" s="178">
        <f>SUM(H675:H692)</f>
        <v>5946.5149999999994</v>
      </c>
      <c r="J692" s="168"/>
      <c r="K692" s="169"/>
      <c r="L692" s="170"/>
      <c r="M692" s="171"/>
      <c r="O692" s="161"/>
      <c r="P692" s="157"/>
    </row>
    <row r="693" spans="1:23" ht="16.5" customHeight="1" x14ac:dyDescent="0.2">
      <c r="A693" s="38">
        <f>COUNTIF($J$1:J693,"!")</f>
        <v>43</v>
      </c>
      <c r="B693" s="179" t="s">
        <v>47</v>
      </c>
      <c r="C693" s="164"/>
      <c r="D693" s="166"/>
      <c r="E693" s="166"/>
      <c r="F693" s="166"/>
      <c r="G693" s="42"/>
      <c r="H693" s="42">
        <f>IFERROR(J693*M693*L693,"")</f>
        <v>400</v>
      </c>
      <c r="I693" s="167"/>
      <c r="J693" s="168">
        <f>P$1</f>
        <v>1</v>
      </c>
      <c r="K693" s="169">
        <f t="shared" ref="K693:K694" si="256">IFERROR(M693*L693,"")</f>
        <v>400</v>
      </c>
      <c r="L693" s="170" t="str">
        <f>IFERROR(VLOOKUP(C693,元件库!$B:$O,10,FALSE),"1.00")</f>
        <v>1.00</v>
      </c>
      <c r="M693" s="171">
        <v>400</v>
      </c>
      <c r="O693" s="180" t="str">
        <f>C675</f>
        <v>HXGN-500*900*2000</v>
      </c>
      <c r="P693" s="162"/>
      <c r="R693" s="157"/>
      <c r="S693" s="157"/>
    </row>
    <row r="694" spans="1:23" s="161" customFormat="1" ht="16.5" customHeight="1" x14ac:dyDescent="0.2">
      <c r="A694" s="38">
        <f>COUNTIF($J$1:J694,"!")</f>
        <v>43</v>
      </c>
      <c r="B694" s="179" t="s">
        <v>49</v>
      </c>
      <c r="C694" s="164"/>
      <c r="D694" s="166"/>
      <c r="E694" s="166"/>
      <c r="F694" s="166"/>
      <c r="G694" s="42"/>
      <c r="H694" s="42">
        <f>IFERROR(J694*M694*L694,"")</f>
        <v>200</v>
      </c>
      <c r="I694" s="167"/>
      <c r="J694" s="168">
        <f>P$1</f>
        <v>1</v>
      </c>
      <c r="K694" s="169">
        <f t="shared" si="256"/>
        <v>200</v>
      </c>
      <c r="L694" s="170" t="str">
        <f>IFERROR(VLOOKUP(C694,元件库!$B:$O,10,FALSE),"1.00")</f>
        <v>1.00</v>
      </c>
      <c r="M694" s="171">
        <v>200</v>
      </c>
      <c r="O694" s="174" t="str">
        <f>O693</f>
        <v>HXGN-500*900*2000</v>
      </c>
      <c r="P694" s="162"/>
      <c r="Q694" s="162"/>
    </row>
    <row r="695" spans="1:23" s="161" customFormat="1" ht="16.5" customHeight="1" x14ac:dyDescent="0.2">
      <c r="A695" s="38">
        <f>COUNTIF($J$1:J695,"!")</f>
        <v>43</v>
      </c>
      <c r="B695" s="179" t="s">
        <v>79</v>
      </c>
      <c r="C695" s="164"/>
      <c r="D695" s="166"/>
      <c r="E695" s="166"/>
      <c r="F695" s="166"/>
      <c r="G695" s="42"/>
      <c r="H695" s="42">
        <f>K695*L695</f>
        <v>785.58179999999993</v>
      </c>
      <c r="I695" s="167"/>
      <c r="J695" s="168"/>
      <c r="K695" s="169">
        <f>SUM(H693:H694)+I692</f>
        <v>6546.5149999999994</v>
      </c>
      <c r="L695" s="279">
        <f>R$1</f>
        <v>0.12</v>
      </c>
      <c r="M695" s="171"/>
      <c r="O695" s="181"/>
      <c r="P695" s="162"/>
      <c r="Q695" s="162"/>
    </row>
    <row r="696" spans="1:23" ht="16.5" customHeight="1" x14ac:dyDescent="0.2">
      <c r="A696" s="38">
        <f>COUNTIF($J$1:J696,"!")</f>
        <v>43</v>
      </c>
      <c r="B696" s="179" t="s">
        <v>108</v>
      </c>
      <c r="C696" s="164"/>
      <c r="D696" s="166"/>
      <c r="E696" s="166"/>
      <c r="F696" s="166"/>
      <c r="G696" s="184"/>
      <c r="H696" s="42">
        <f>K696*L696</f>
        <v>219.96290399999998</v>
      </c>
      <c r="I696" s="167"/>
      <c r="J696" s="168"/>
      <c r="K696" s="169">
        <f>H695+K695</f>
        <v>7332.0967999999993</v>
      </c>
      <c r="L696" s="279">
        <f>T$1</f>
        <v>0.03</v>
      </c>
      <c r="M696" s="171"/>
      <c r="O696" s="161"/>
      <c r="P696" s="162"/>
      <c r="R696" s="157"/>
      <c r="S696" s="157"/>
    </row>
    <row r="697" spans="1:23" s="162" customFormat="1" ht="16.5" customHeight="1" x14ac:dyDescent="0.15">
      <c r="A697" s="32">
        <f>COUNTIF($J$1:J697,"!")</f>
        <v>44</v>
      </c>
      <c r="B697" s="33" t="s">
        <v>1886</v>
      </c>
      <c r="C697" s="296" t="s">
        <v>3176</v>
      </c>
      <c r="D697" s="159" t="s">
        <v>3175</v>
      </c>
      <c r="E697" s="34" t="s">
        <v>23</v>
      </c>
      <c r="F697" s="159">
        <v>1</v>
      </c>
      <c r="G697" s="36">
        <f>ROUND(SUM(H698:H716),0)</f>
        <v>6671</v>
      </c>
      <c r="H697" s="160" t="str">
        <f>IF(ISNUMBER(FIND(" ",C698)),MID(C698,1,FIND(" ",C698)-1),IF(ISNUMBER(FIND("电容柜",B697)),"GGJ",MID(C698,1,FIND("-",C698)-1)))</f>
        <v>HXGN</v>
      </c>
      <c r="I697" s="47" t="str">
        <f>MID(C698,IF(LEN(C698)-LEN(H697)&gt;3,LEN(H697)+2,1),30)</f>
        <v>800*900*2000</v>
      </c>
      <c r="J697" s="48" t="s">
        <v>24</v>
      </c>
      <c r="K697" s="49"/>
      <c r="L697" s="50"/>
      <c r="M697" s="51"/>
      <c r="N697" s="172"/>
      <c r="O697" s="161"/>
    </row>
    <row r="698" spans="1:23" s="162" customFormat="1" ht="16.5" customHeight="1" x14ac:dyDescent="0.2">
      <c r="A698" s="38">
        <f>COUNTIF($J$1:J698,"!")</f>
        <v>44</v>
      </c>
      <c r="B698" s="163" t="str">
        <f>IFERROR(VLOOKUP(C698,元件库!$B:$O,3,FALSE),"")</f>
        <v>壳体W*D*H</v>
      </c>
      <c r="C698" s="164" t="s">
        <v>3122</v>
      </c>
      <c r="D698" s="165" t="str">
        <f>IFERROR(VLOOKUP(C698,元件库!$B:$O,2,FALSE),"")</f>
        <v>精益联合集团</v>
      </c>
      <c r="E698" s="166" t="str">
        <f t="shared" ref="E698:E703" si="257">IF(D698="欣利铜材","米",IF(B698="氧化锌避雷器","组","只"))</f>
        <v>只</v>
      </c>
      <c r="F698" s="166">
        <v>1</v>
      </c>
      <c r="G698" s="42">
        <f t="shared" ref="G698:G703" si="258">IFERROR(J698*K698,"")</f>
        <v>1800</v>
      </c>
      <c r="H698" s="42">
        <f t="shared" ref="H698:H703" si="259">IFERROR(G698*F698,"")</f>
        <v>1800</v>
      </c>
      <c r="I698" s="167"/>
      <c r="J698" s="168">
        <f t="shared" ref="J698:J703" si="260">P$1</f>
        <v>1</v>
      </c>
      <c r="K698" s="169">
        <f t="shared" ref="K698:K703" si="261">IFERROR(M698*L698,"")</f>
        <v>1800</v>
      </c>
      <c r="L698" s="170">
        <f>IFERROR(VLOOKUP(C698,元件库!$B:$O,10,FALSE),"1.00")</f>
        <v>1</v>
      </c>
      <c r="M698" s="171">
        <f>IFERROR(VLOOKUP(C698,元件库!$B:$O,11,FALSE),"")</f>
        <v>1800</v>
      </c>
      <c r="N698" s="172" t="str">
        <f t="shared" ref="N698:N711" ca="1" si="262">IF(AND(ISNUMBER(FIND("IF",_xlfn.FORMULATEXT(L698))),ISNUMBER(FIND("IF",_xlfn.FORMULATEXT(M698)))),"","值")</f>
        <v/>
      </c>
      <c r="O698" s="157"/>
      <c r="P698" s="157"/>
    </row>
    <row r="699" spans="1:23" s="175" customFormat="1" ht="16.5" customHeight="1" x14ac:dyDescent="0.2">
      <c r="A699" s="38">
        <f>COUNTIF($J$1:J699,"!")</f>
        <v>44</v>
      </c>
      <c r="B699" s="163" t="str">
        <f>IFERROR(VLOOKUP(C699,元件库!$B:$O,3,FALSE),"")</f>
        <v/>
      </c>
      <c r="C699" s="164" t="s">
        <v>861</v>
      </c>
      <c r="D699" s="165" t="str">
        <f>IFERROR(VLOOKUP(C699,元件库!$B:$O,2,FALSE),"")</f>
        <v/>
      </c>
      <c r="E699" s="166" t="str">
        <f t="shared" si="257"/>
        <v>只</v>
      </c>
      <c r="F699" s="166">
        <v>1</v>
      </c>
      <c r="G699" s="42" t="str">
        <f t="shared" si="258"/>
        <v/>
      </c>
      <c r="H699" s="42" t="str">
        <f t="shared" si="259"/>
        <v/>
      </c>
      <c r="I699" s="167"/>
      <c r="J699" s="168">
        <f t="shared" si="260"/>
        <v>1</v>
      </c>
      <c r="K699" s="169" t="str">
        <f t="shared" si="261"/>
        <v/>
      </c>
      <c r="L699" s="170" t="str">
        <f>IFERROR(VLOOKUP(C699,元件库!$B:$O,10,FALSE),"1.00")</f>
        <v>1.00</v>
      </c>
      <c r="M699" s="171" t="str">
        <f>IFERROR(VLOOKUP(C699,元件库!$B:$O,11,FALSE),"")</f>
        <v/>
      </c>
      <c r="N699" s="172" t="str">
        <f t="shared" ca="1" si="262"/>
        <v/>
      </c>
      <c r="O699" s="157"/>
      <c r="W699" s="162"/>
    </row>
    <row r="700" spans="1:23" s="175" customFormat="1" ht="16.5" customHeight="1" x14ac:dyDescent="0.2">
      <c r="A700" s="38">
        <f>COUNTIF($J$1:J700,"!")</f>
        <v>44</v>
      </c>
      <c r="B700" s="163" t="str">
        <f>IFERROR(VLOOKUP(C700,元件库!$B:$O,3,FALSE),"")</f>
        <v>高压熔断器</v>
      </c>
      <c r="C700" s="164" t="s">
        <v>3123</v>
      </c>
      <c r="D700" s="165" t="str">
        <f>IFERROR(VLOOKUP(C700,元件库!$B:$O,2,FALSE),"")</f>
        <v>上海智广</v>
      </c>
      <c r="E700" s="166" t="str">
        <f t="shared" si="257"/>
        <v>只</v>
      </c>
      <c r="F700" s="166">
        <v>3</v>
      </c>
      <c r="G700" s="42">
        <f t="shared" si="258"/>
        <v>140</v>
      </c>
      <c r="H700" s="42">
        <f t="shared" si="259"/>
        <v>420</v>
      </c>
      <c r="I700" s="167"/>
      <c r="J700" s="168">
        <f t="shared" si="260"/>
        <v>1</v>
      </c>
      <c r="K700" s="169">
        <f t="shared" si="261"/>
        <v>140</v>
      </c>
      <c r="L700" s="170">
        <f>IFERROR(VLOOKUP(C700,元件库!$B:$O,10,FALSE),"1.00")</f>
        <v>1</v>
      </c>
      <c r="M700" s="171">
        <f>IFERROR(VLOOKUP(C700,元件库!$B:$O,11,FALSE),"")</f>
        <v>140</v>
      </c>
      <c r="N700" s="172" t="str">
        <f t="shared" ca="1" si="262"/>
        <v/>
      </c>
      <c r="O700" s="157"/>
      <c r="W700" s="162"/>
    </row>
    <row r="701" spans="1:23" s="175" customFormat="1" ht="16.5" customHeight="1" x14ac:dyDescent="0.2">
      <c r="A701" s="38">
        <f>COUNTIF($J$1:J701,"!")</f>
        <v>44</v>
      </c>
      <c r="B701" s="163" t="str">
        <f>IFERROR(VLOOKUP(C701,元件库!$B:$O,3,FALSE),"")</f>
        <v>穿墙套管</v>
      </c>
      <c r="C701" s="164" t="s">
        <v>135</v>
      </c>
      <c r="D701" s="165" t="str">
        <f>IFERROR(VLOOKUP(C701,元件库!$B:$O,2,FALSE),"")</f>
        <v>福一开</v>
      </c>
      <c r="E701" s="166" t="str">
        <f t="shared" si="257"/>
        <v>只</v>
      </c>
      <c r="F701" s="166">
        <v>3</v>
      </c>
      <c r="G701" s="42">
        <f t="shared" si="258"/>
        <v>45</v>
      </c>
      <c r="H701" s="42">
        <f t="shared" si="259"/>
        <v>135</v>
      </c>
      <c r="I701" s="167"/>
      <c r="J701" s="168">
        <f t="shared" si="260"/>
        <v>1</v>
      </c>
      <c r="K701" s="169">
        <f t="shared" si="261"/>
        <v>45</v>
      </c>
      <c r="L701" s="170">
        <f>IFERROR(VLOOKUP(C701,元件库!$B:$O,10,FALSE),"1.00")</f>
        <v>1</v>
      </c>
      <c r="M701" s="171">
        <f>IFERROR(VLOOKUP(C701,元件库!$B:$O,11,FALSE),"")</f>
        <v>45</v>
      </c>
      <c r="N701" s="172" t="str">
        <f t="shared" ca="1" si="262"/>
        <v/>
      </c>
      <c r="O701" s="157"/>
      <c r="W701" s="162"/>
    </row>
    <row r="702" spans="1:23" s="175" customFormat="1" ht="16.5" customHeight="1" x14ac:dyDescent="0.2">
      <c r="A702" s="38">
        <f>COUNTIF($J$1:J702,"!")</f>
        <v>44</v>
      </c>
      <c r="B702" s="163" t="str">
        <f>IFERROR(VLOOKUP(C702,元件库!$B:$O,3,FALSE),"")</f>
        <v>支柱绝缘子</v>
      </c>
      <c r="C702" s="164" t="s">
        <v>136</v>
      </c>
      <c r="D702" s="165" t="str">
        <f>IFERROR(VLOOKUP(C702,元件库!$B:$O,2,FALSE),"")</f>
        <v>福一开</v>
      </c>
      <c r="E702" s="166" t="str">
        <f t="shared" si="257"/>
        <v>只</v>
      </c>
      <c r="F702" s="166">
        <v>3</v>
      </c>
      <c r="G702" s="42">
        <f t="shared" si="258"/>
        <v>22</v>
      </c>
      <c r="H702" s="42">
        <f t="shared" si="259"/>
        <v>66</v>
      </c>
      <c r="I702" s="167"/>
      <c r="J702" s="168">
        <f t="shared" si="260"/>
        <v>1</v>
      </c>
      <c r="K702" s="169">
        <f t="shared" si="261"/>
        <v>22</v>
      </c>
      <c r="L702" s="170">
        <f>IFERROR(VLOOKUP(C702,元件库!$B:$O,10,FALSE),"1.00")</f>
        <v>1</v>
      </c>
      <c r="M702" s="171">
        <f>IFERROR(VLOOKUP(C702,元件库!$B:$O,11,FALSE),"")</f>
        <v>22</v>
      </c>
      <c r="N702" s="172" t="str">
        <f t="shared" ca="1" si="262"/>
        <v/>
      </c>
      <c r="O702" s="157"/>
      <c r="W702" s="162"/>
    </row>
    <row r="703" spans="1:23" s="175" customFormat="1" ht="16.5" customHeight="1" x14ac:dyDescent="0.2">
      <c r="A703" s="38">
        <f>COUNTIF($J$1:J703,"!")</f>
        <v>44</v>
      </c>
      <c r="B703" s="163" t="str">
        <f>IFERROR(VLOOKUP(C703,元件库!$B:$O,3,FALSE),"")</f>
        <v>电压传感器</v>
      </c>
      <c r="C703" s="164" t="s">
        <v>137</v>
      </c>
      <c r="D703" s="165" t="str">
        <f>IFERROR(VLOOKUP(C703,元件库!$B:$O,2,FALSE),"")</f>
        <v>福一开</v>
      </c>
      <c r="E703" s="166" t="str">
        <f t="shared" si="257"/>
        <v>只</v>
      </c>
      <c r="F703" s="166">
        <v>1</v>
      </c>
      <c r="G703" s="42">
        <f t="shared" si="258"/>
        <v>93</v>
      </c>
      <c r="H703" s="42">
        <f t="shared" si="259"/>
        <v>93</v>
      </c>
      <c r="I703" s="167"/>
      <c r="J703" s="168">
        <f t="shared" si="260"/>
        <v>1</v>
      </c>
      <c r="K703" s="169">
        <f t="shared" si="261"/>
        <v>93</v>
      </c>
      <c r="L703" s="170">
        <f>IFERROR(VLOOKUP(C703,元件库!$B:$O,10,FALSE),"1.00")</f>
        <v>1</v>
      </c>
      <c r="M703" s="171">
        <f>IFERROR(VLOOKUP(C703,元件库!$B:$O,11,FALSE),"")</f>
        <v>93</v>
      </c>
      <c r="N703" s="172" t="str">
        <f t="shared" ca="1" si="262"/>
        <v/>
      </c>
      <c r="O703" s="157"/>
      <c r="W703" s="162"/>
    </row>
    <row r="704" spans="1:23" s="175" customFormat="1" ht="16.5" customHeight="1" x14ac:dyDescent="0.2">
      <c r="A704" s="38">
        <f>COUNTIF($J$1:J704,"!")</f>
        <v>44</v>
      </c>
      <c r="B704" s="163" t="str">
        <f>IFERROR(VLOOKUP(C704,元件库!$B:$O,3,FALSE),"")</f>
        <v>带电显示器</v>
      </c>
      <c r="C704" s="164" t="s">
        <v>1897</v>
      </c>
      <c r="D704" s="165" t="str">
        <f>IFERROR(VLOOKUP(C704,元件库!$B:$O,2,FALSE),"")</f>
        <v>江山鑫源</v>
      </c>
      <c r="E704" s="166" t="str">
        <f>IF(D704="欣利铜材","米",IF(B704="氧化锌避雷器","组","只"))</f>
        <v>只</v>
      </c>
      <c r="F704" s="166">
        <v>1</v>
      </c>
      <c r="G704" s="42">
        <f>IFERROR(J704*K704,"")</f>
        <v>33</v>
      </c>
      <c r="H704" s="42">
        <f>IFERROR(G704*F704,"")</f>
        <v>33</v>
      </c>
      <c r="I704" s="167"/>
      <c r="J704" s="168">
        <f>P$1</f>
        <v>1</v>
      </c>
      <c r="K704" s="169">
        <f>IFERROR(M704*L704,"")</f>
        <v>33</v>
      </c>
      <c r="L704" s="170">
        <f>IFERROR(VLOOKUP(C704,元件库!$B:$O,10,FALSE),"1.00")</f>
        <v>1</v>
      </c>
      <c r="M704" s="171">
        <f>IFERROR(VLOOKUP(C704,元件库!$B:$O,11,FALSE),"")</f>
        <v>33</v>
      </c>
      <c r="N704" s="172" t="str">
        <f t="shared" ca="1" si="262"/>
        <v/>
      </c>
      <c r="O704" s="157"/>
      <c r="W704" s="162"/>
    </row>
    <row r="705" spans="1:23" s="175" customFormat="1" ht="16.5" customHeight="1" x14ac:dyDescent="0.2">
      <c r="A705" s="38">
        <f>COUNTIF($J$1:J705,"!")</f>
        <v>44</v>
      </c>
      <c r="B705" s="163" t="str">
        <f>IFERROR(VLOOKUP(C705,元件库!$B:$O,3,FALSE),"")</f>
        <v>电磁锁</v>
      </c>
      <c r="C705" s="164" t="s">
        <v>98</v>
      </c>
      <c r="D705" s="165" t="str">
        <f>IFERROR(VLOOKUP(C705,元件库!$B:$O,2,FALSE),"")</f>
        <v>哈陆拉</v>
      </c>
      <c r="E705" s="166" t="str">
        <f>IF(D705="欣利铜材","米",IF(B705="氧化锌避雷器","组","只"))</f>
        <v>只</v>
      </c>
      <c r="F705" s="166">
        <v>1</v>
      </c>
      <c r="G705" s="42">
        <f>IFERROR(J705*K705,"")</f>
        <v>55</v>
      </c>
      <c r="H705" s="42">
        <f>IFERROR(G705*F705,"")</f>
        <v>55</v>
      </c>
      <c r="I705" s="167"/>
      <c r="J705" s="168">
        <f t="shared" ref="J705:J711" si="263">P$1</f>
        <v>1</v>
      </c>
      <c r="K705" s="169">
        <f>IFERROR(M705*L705,"")</f>
        <v>55</v>
      </c>
      <c r="L705" s="170">
        <f>IFERROR(VLOOKUP(C705,元件库!$B:$O,10,FALSE),"1.00")</f>
        <v>1</v>
      </c>
      <c r="M705" s="171">
        <f>IFERROR(VLOOKUP(C705,元件库!$B:$O,11,FALSE),"")</f>
        <v>55</v>
      </c>
      <c r="N705" s="172" t="str">
        <f t="shared" ca="1" si="262"/>
        <v/>
      </c>
      <c r="O705" s="157"/>
      <c r="W705" s="162"/>
    </row>
    <row r="706" spans="1:23" s="175" customFormat="1" ht="16.5" customHeight="1" x14ac:dyDescent="0.2">
      <c r="A706" s="38">
        <f>COUNTIF($J$1:J706,"!")</f>
        <v>44</v>
      </c>
      <c r="B706" s="163" t="str">
        <f>IFERROR(VLOOKUP(C706,元件库!$B:$O,3,FALSE),"")</f>
        <v>温湿度控制器</v>
      </c>
      <c r="C706" s="164" t="s">
        <v>153</v>
      </c>
      <c r="D706" s="165" t="str">
        <f>IFERROR(VLOOKUP(C706,元件库!$B:$O,2,FALSE),"")</f>
        <v>实德电气</v>
      </c>
      <c r="E706" s="166" t="str">
        <f t="shared" ref="E706:E711" si="264">IF(D706="欣利铜材","米",IF(B706="氧化锌避雷器","组","只"))</f>
        <v>只</v>
      </c>
      <c r="F706" s="166">
        <v>1</v>
      </c>
      <c r="G706" s="42">
        <f t="shared" ref="G706:G711" si="265">IFERROR(J706*K706,"")</f>
        <v>110</v>
      </c>
      <c r="H706" s="42">
        <f t="shared" ref="H706:H711" si="266">IFERROR(G706*F706,"")</f>
        <v>110</v>
      </c>
      <c r="I706" s="167"/>
      <c r="J706" s="168">
        <f t="shared" si="263"/>
        <v>1</v>
      </c>
      <c r="K706" s="169">
        <f t="shared" ref="K706:K711" si="267">IFERROR(M706*L706,"")</f>
        <v>110</v>
      </c>
      <c r="L706" s="170">
        <f>IFERROR(VLOOKUP(C706,元件库!$B:$O,10,FALSE),"1.00")</f>
        <v>1</v>
      </c>
      <c r="M706" s="171">
        <f>IFERROR(VLOOKUP(C706,元件库!$B:$O,11,FALSE),"")</f>
        <v>110</v>
      </c>
      <c r="N706" s="172" t="str">
        <f t="shared" ca="1" si="262"/>
        <v/>
      </c>
      <c r="O706" s="157"/>
    </row>
    <row r="707" spans="1:23" s="175" customFormat="1" ht="16.5" customHeight="1" x14ac:dyDescent="0.2">
      <c r="A707" s="38">
        <f>COUNTIF($J$1:J707,"!")</f>
        <v>44</v>
      </c>
      <c r="B707" s="163" t="str">
        <f>IFERROR(VLOOKUP(C707,元件库!$B:$O,3,FALSE),"")</f>
        <v>加热器</v>
      </c>
      <c r="C707" s="164" t="s">
        <v>101</v>
      </c>
      <c r="D707" s="165" t="str">
        <f>IFERROR(VLOOKUP(C707,元件库!$B:$O,2,FALSE),"")</f>
        <v>实德电气</v>
      </c>
      <c r="E707" s="166" t="str">
        <f t="shared" si="264"/>
        <v>只</v>
      </c>
      <c r="F707" s="166">
        <v>2</v>
      </c>
      <c r="G707" s="42">
        <f t="shared" si="265"/>
        <v>18</v>
      </c>
      <c r="H707" s="42">
        <f t="shared" si="266"/>
        <v>36</v>
      </c>
      <c r="I707" s="167"/>
      <c r="J707" s="168">
        <f t="shared" si="263"/>
        <v>1</v>
      </c>
      <c r="K707" s="169">
        <f t="shared" si="267"/>
        <v>18</v>
      </c>
      <c r="L707" s="170">
        <f>IFERROR(VLOOKUP(C707,元件库!$B:$O,10,FALSE),"1.00")</f>
        <v>1</v>
      </c>
      <c r="M707" s="171">
        <f>IFERROR(VLOOKUP(C707,元件库!$B:$O,11,FALSE),"")</f>
        <v>18</v>
      </c>
      <c r="N707" s="172" t="str">
        <f t="shared" ca="1" si="262"/>
        <v/>
      </c>
      <c r="O707" s="157"/>
    </row>
    <row r="708" spans="1:23" s="175" customFormat="1" ht="16.5" customHeight="1" x14ac:dyDescent="0.2">
      <c r="A708" s="38">
        <f>COUNTIF($J$1:J708,"!")</f>
        <v>44</v>
      </c>
      <c r="B708" s="163" t="str">
        <f>IFERROR(VLOOKUP(C708,元件库!$B:$O,3,FALSE),"")</f>
        <v>高压热缩管</v>
      </c>
      <c r="C708" s="185" t="str">
        <f>"10KV"&amp;MID(C710,4,10)</f>
        <v>10KV-60*6</v>
      </c>
      <c r="D708" s="165" t="str">
        <f>IFERROR(VLOOKUP(C708,元件库!$B:$O,2,FALSE),"")</f>
        <v>精益联合集团</v>
      </c>
      <c r="E708" s="166" t="str">
        <f t="shared" si="264"/>
        <v>只</v>
      </c>
      <c r="F708" s="166">
        <f>ROUND(SUM(F710:F711),0)</f>
        <v>3</v>
      </c>
      <c r="G708" s="42">
        <f t="shared" si="265"/>
        <v>12</v>
      </c>
      <c r="H708" s="42">
        <f t="shared" si="266"/>
        <v>36</v>
      </c>
      <c r="I708" s="167"/>
      <c r="J708" s="168">
        <f t="shared" si="263"/>
        <v>1</v>
      </c>
      <c r="K708" s="169">
        <f t="shared" si="267"/>
        <v>12</v>
      </c>
      <c r="L708" s="170">
        <f>IFERROR(VLOOKUP(C708,元件库!$B:$O,10,FALSE),"1.00")</f>
        <v>1</v>
      </c>
      <c r="M708" s="171">
        <f>IFERROR(VLOOKUP(C708,元件库!$B:$O,11,FALSE),"")</f>
        <v>12</v>
      </c>
      <c r="N708" s="172" t="str">
        <f t="shared" ca="1" si="262"/>
        <v/>
      </c>
      <c r="O708" s="157"/>
    </row>
    <row r="709" spans="1:23" s="175" customFormat="1" ht="16.5" customHeight="1" x14ac:dyDescent="0.2">
      <c r="A709" s="38">
        <f>COUNTIF($J$1:J709,"!")</f>
        <v>44</v>
      </c>
      <c r="B709" s="163" t="str">
        <f>IFERROR(VLOOKUP(C709,元件库!$B:$O,3,FALSE),"")</f>
        <v>铜排</v>
      </c>
      <c r="C709" s="185" t="s">
        <v>1889</v>
      </c>
      <c r="D709" s="165" t="str">
        <f>IFERROR(VLOOKUP(C709,元件库!$B:$O,2,FALSE),"")</f>
        <v>欣利铜材</v>
      </c>
      <c r="E709" s="166" t="str">
        <f t="shared" si="264"/>
        <v>米</v>
      </c>
      <c r="F709" s="166">
        <v>6</v>
      </c>
      <c r="G709" s="42">
        <f t="shared" si="265"/>
        <v>182.62799999999999</v>
      </c>
      <c r="H709" s="42">
        <f t="shared" si="266"/>
        <v>1095.768</v>
      </c>
      <c r="I709" s="167"/>
      <c r="J709" s="168">
        <f t="shared" si="263"/>
        <v>1</v>
      </c>
      <c r="K709" s="169">
        <f t="shared" si="267"/>
        <v>182.62799999999999</v>
      </c>
      <c r="L709" s="170">
        <f>IFERROR(VLOOKUP(C709,元件库!$B:$O,10,FALSE),"1.00")</f>
        <v>1</v>
      </c>
      <c r="M709" s="171">
        <f>IFERROR(VLOOKUP(C709,元件库!$B:$O,11,FALSE),"")</f>
        <v>182.62799999999999</v>
      </c>
      <c r="N709" s="172" t="str">
        <f t="shared" ca="1" si="262"/>
        <v/>
      </c>
      <c r="O709" s="174" t="str">
        <f>O711</f>
        <v>HXGN-800*900*2000</v>
      </c>
    </row>
    <row r="710" spans="1:23" s="175" customFormat="1" ht="16.5" customHeight="1" x14ac:dyDescent="0.2">
      <c r="A710" s="38">
        <f>COUNTIF($J$1:J710,"!")</f>
        <v>44</v>
      </c>
      <c r="B710" s="163" t="s">
        <v>2171</v>
      </c>
      <c r="C710" s="185" t="s">
        <v>1889</v>
      </c>
      <c r="D710" s="165" t="str">
        <f>IFERROR(VLOOKUP(C710,元件库!$B:$O,2,FALSE),"")</f>
        <v>欣利铜材</v>
      </c>
      <c r="E710" s="166" t="str">
        <f t="shared" si="264"/>
        <v>米</v>
      </c>
      <c r="F710" s="166">
        <f>1*MID(O710,FIND("-",O710)+1,FIND("*",O710)-FIND("-",O710)-1)/1000*IF(B710="水平排",3,1)+IF(AND(B710="零母排",VLOOKUP(A710,A$1:B707,2,FALSE)="低压进线柜"),1.5,0)</f>
        <v>2.4000000000000004</v>
      </c>
      <c r="G710" s="42">
        <f t="shared" si="265"/>
        <v>182.62799999999999</v>
      </c>
      <c r="H710" s="42">
        <f t="shared" si="266"/>
        <v>438.30720000000002</v>
      </c>
      <c r="I710" s="167"/>
      <c r="J710" s="168">
        <f t="shared" si="263"/>
        <v>1</v>
      </c>
      <c r="K710" s="169">
        <f t="shared" si="267"/>
        <v>182.62799999999999</v>
      </c>
      <c r="L710" s="170">
        <f>IFERROR(VLOOKUP(C710,元件库!$B:$O,10,FALSE),"1.00")</f>
        <v>1</v>
      </c>
      <c r="M710" s="171">
        <f>IFERROR(VLOOKUP(C710,元件库!$B:$O,11,FALSE),"")</f>
        <v>182.62799999999999</v>
      </c>
      <c r="N710" s="172" t="str">
        <f t="shared" ca="1" si="262"/>
        <v/>
      </c>
      <c r="O710" s="174" t="str">
        <f>O713</f>
        <v>HXGN-800*900*2000</v>
      </c>
    </row>
    <row r="711" spans="1:23" s="175" customFormat="1" ht="16.5" customHeight="1" x14ac:dyDescent="0.2">
      <c r="A711" s="38">
        <f>COUNTIF($J$1:J711,"!")</f>
        <v>44</v>
      </c>
      <c r="B711" s="163" t="s">
        <v>2172</v>
      </c>
      <c r="C711" s="185" t="s">
        <v>2326</v>
      </c>
      <c r="D711" s="165" t="str">
        <f>IFERROR(VLOOKUP(C711,元件库!$B:$O,2,FALSE),"")</f>
        <v>欣利铜材</v>
      </c>
      <c r="E711" s="166" t="str">
        <f t="shared" si="264"/>
        <v>米</v>
      </c>
      <c r="F711" s="166">
        <f>1*MID(O711,FIND("-",O711)+1,FIND("*",O711)-FIND("-",O711)-1)/1000*IF(B711="水平排",3,1)+IF(AND(B711="零母排",VLOOKUP(A711,A$1:B708,2,FALSE)="低压进线柜"),1.5,0)</f>
        <v>0.8</v>
      </c>
      <c r="G711" s="42">
        <f t="shared" si="265"/>
        <v>81.167999999999992</v>
      </c>
      <c r="H711" s="42">
        <f t="shared" si="266"/>
        <v>64.934399999999997</v>
      </c>
      <c r="I711" s="167"/>
      <c r="J711" s="168">
        <f t="shared" si="263"/>
        <v>1</v>
      </c>
      <c r="K711" s="169">
        <f t="shared" si="267"/>
        <v>81.167999999999992</v>
      </c>
      <c r="L711" s="170">
        <f>IFERROR(VLOOKUP(C711,元件库!$B:$O,10,FALSE),"1.00")</f>
        <v>1</v>
      </c>
      <c r="M711" s="171">
        <f>IFERROR(VLOOKUP(C711,元件库!$B:$O,11,FALSE),"")</f>
        <v>81.167999999999992</v>
      </c>
      <c r="N711" s="172" t="str">
        <f t="shared" ca="1" si="262"/>
        <v/>
      </c>
      <c r="O711" s="174" t="str">
        <f>O714</f>
        <v>HXGN-800*900*2000</v>
      </c>
    </row>
    <row r="712" spans="1:23" s="162" customFormat="1" ht="16.5" customHeight="1" x14ac:dyDescent="0.2">
      <c r="A712" s="38">
        <f>COUNTIF($J$1:J712,"!")</f>
        <v>44</v>
      </c>
      <c r="B712" s="177" t="s">
        <v>107</v>
      </c>
      <c r="C712" s="164"/>
      <c r="D712" s="166"/>
      <c r="E712" s="166"/>
      <c r="F712" s="166"/>
      <c r="G712" s="42"/>
      <c r="H712" s="42"/>
      <c r="I712" s="178">
        <f>SUM(H698:H712)</f>
        <v>4383.0096000000003</v>
      </c>
      <c r="J712" s="168"/>
      <c r="K712" s="169"/>
      <c r="L712" s="170"/>
      <c r="M712" s="171"/>
      <c r="O712" s="161"/>
      <c r="P712" s="157"/>
    </row>
    <row r="713" spans="1:23" ht="16.5" customHeight="1" x14ac:dyDescent="0.2">
      <c r="A713" s="38">
        <f>COUNTIF($J$1:J713,"!")</f>
        <v>44</v>
      </c>
      <c r="B713" s="179" t="s">
        <v>47</v>
      </c>
      <c r="C713" s="164"/>
      <c r="D713" s="166"/>
      <c r="E713" s="166"/>
      <c r="F713" s="166"/>
      <c r="G713" s="42"/>
      <c r="H713" s="42">
        <f>IFERROR(J713*M713*L713,"")</f>
        <v>800</v>
      </c>
      <c r="I713" s="167"/>
      <c r="J713" s="168">
        <f>P$1</f>
        <v>1</v>
      </c>
      <c r="K713" s="169">
        <f>IFERROR(M713*L713,"")</f>
        <v>800</v>
      </c>
      <c r="L713" s="170" t="str">
        <f>IFERROR(VLOOKUP(C713,元件库!$B:$O,10,FALSE),"1.00")</f>
        <v>1.00</v>
      </c>
      <c r="M713" s="171">
        <f>IF(ISNUMBER(FIND("提升",VLOOKUP(A713,A$1:B712,2,FALSE))),IF(B713="成套费",400,200),IF(OR(ISNUMBER(FIND("XGN",O713)),ISNUMBER(FIND("HXGN",O713))),IF(B713="成套费",800,600),IF(ISNUMBER(FIND("KYN28",O713)),IF(B713="成套费",900,700),"")))</f>
        <v>800</v>
      </c>
      <c r="O713" s="180" t="str">
        <f>C698</f>
        <v>HXGN-800*900*2000</v>
      </c>
      <c r="P713" s="162"/>
      <c r="R713" s="157"/>
      <c r="S713" s="157"/>
    </row>
    <row r="714" spans="1:23" s="161" customFormat="1" ht="16.5" customHeight="1" x14ac:dyDescent="0.2">
      <c r="A714" s="38">
        <f>COUNTIF($J$1:J714,"!")</f>
        <v>44</v>
      </c>
      <c r="B714" s="179" t="s">
        <v>49</v>
      </c>
      <c r="C714" s="164"/>
      <c r="D714" s="166"/>
      <c r="E714" s="166"/>
      <c r="F714" s="166"/>
      <c r="G714" s="42"/>
      <c r="H714" s="42">
        <f>IFERROR(J714*M714*L714,"")</f>
        <v>600</v>
      </c>
      <c r="I714" s="167"/>
      <c r="J714" s="168">
        <f>P$1</f>
        <v>1</v>
      </c>
      <c r="K714" s="169">
        <f>IFERROR(M714*L714,"")</f>
        <v>600</v>
      </c>
      <c r="L714" s="170" t="str">
        <f>IFERROR(VLOOKUP(C714,元件库!$B:$O,10,FALSE),"1.00")</f>
        <v>1.00</v>
      </c>
      <c r="M714" s="171">
        <f>IF(ISNUMBER(FIND("提升",VLOOKUP(A714,A$1:B713,2,FALSE))),IF(B714="成套费",400,200),IF(OR(ISNUMBER(FIND("XGN",O714)),ISNUMBER(FIND("HXGN",O714))),IF(B714="成套费",800,600),IF(ISNUMBER(FIND("KYN28",O714)),IF(B714="成套费",900,700),"")))</f>
        <v>600</v>
      </c>
      <c r="O714" s="174" t="str">
        <f>O713</f>
        <v>HXGN-800*900*2000</v>
      </c>
      <c r="P714" s="162"/>
      <c r="Q714" s="162"/>
    </row>
    <row r="715" spans="1:23" s="161" customFormat="1" ht="16.5" customHeight="1" x14ac:dyDescent="0.2">
      <c r="A715" s="38">
        <f>COUNTIF($J$1:J715,"!")</f>
        <v>44</v>
      </c>
      <c r="B715" s="179" t="s">
        <v>79</v>
      </c>
      <c r="C715" s="164"/>
      <c r="D715" s="166"/>
      <c r="E715" s="166"/>
      <c r="F715" s="166"/>
      <c r="G715" s="42"/>
      <c r="H715" s="42">
        <f>K715*L715</f>
        <v>693.96115199999997</v>
      </c>
      <c r="I715" s="167"/>
      <c r="J715" s="168"/>
      <c r="K715" s="169">
        <f>SUM(H713:H714)+I712</f>
        <v>5783.0096000000003</v>
      </c>
      <c r="L715" s="279">
        <f>R$1</f>
        <v>0.12</v>
      </c>
      <c r="M715" s="171"/>
      <c r="O715" s="181"/>
      <c r="P715" s="162"/>
      <c r="Q715" s="162"/>
    </row>
    <row r="716" spans="1:23" ht="16.5" customHeight="1" x14ac:dyDescent="0.2">
      <c r="A716" s="38">
        <f>COUNTIF($J$1:J716,"!")</f>
        <v>44</v>
      </c>
      <c r="B716" s="179" t="s">
        <v>108</v>
      </c>
      <c r="C716" s="164"/>
      <c r="D716" s="166"/>
      <c r="E716" s="166"/>
      <c r="F716" s="166"/>
      <c r="G716" s="184"/>
      <c r="H716" s="42">
        <f>K716*L716</f>
        <v>194.30912255999999</v>
      </c>
      <c r="I716" s="167"/>
      <c r="J716" s="168"/>
      <c r="K716" s="169">
        <f>H715+K715</f>
        <v>6476.9707520000002</v>
      </c>
      <c r="L716" s="279">
        <f>T$1</f>
        <v>0.03</v>
      </c>
      <c r="M716" s="171"/>
      <c r="O716" s="161"/>
      <c r="P716" s="162"/>
      <c r="R716" s="157"/>
      <c r="S716" s="157"/>
    </row>
    <row r="717" spans="1:23" ht="16.5" customHeight="1" x14ac:dyDescent="0.15">
      <c r="A717" s="32">
        <f>COUNTIF($J$1:J717,"!")</f>
        <v>45</v>
      </c>
      <c r="B717" s="33" t="str">
        <f>IF(MID(H717,1,3)="SCB","干式","油式")&amp;B718</f>
        <v>干式变压器</v>
      </c>
      <c r="C717" s="158" t="s">
        <v>179</v>
      </c>
      <c r="D717" s="159" t="s">
        <v>3175</v>
      </c>
      <c r="E717" s="34" t="s">
        <v>23</v>
      </c>
      <c r="F717" s="159">
        <v>1</v>
      </c>
      <c r="G717" s="36">
        <f>ROUND(SUM(H718:H721),0)</f>
        <v>33630</v>
      </c>
      <c r="H717" s="160" t="str">
        <f>IF(ISNUMBER(FIND("M",C718)),MID(C718,1,FIND(" ",C718)-1),MID(C718,1,FIND(" ",C718)-1))</f>
        <v>SCB11-500KVA</v>
      </c>
      <c r="I717" s="47" t="str">
        <f>MID(C718,LEN(H717)+2,30)</f>
        <v>全铝</v>
      </c>
      <c r="J717" s="48" t="s">
        <v>24</v>
      </c>
      <c r="K717" s="49"/>
      <c r="L717" s="50"/>
      <c r="M717" s="51"/>
      <c r="N717" s="161" t="str">
        <f>IF(ISNUMBER(FIND("M",C718)),MID(C718,FIND("M",C718)+2,FIND(" ",C718)-FIND("M",C718)-1),MID(C718,FIND("-",C718)+1,FIND(" ",C718)-FIND("-",C718)))</f>
        <v xml:space="preserve">500KVA </v>
      </c>
      <c r="O717" s="297"/>
    </row>
    <row r="718" spans="1:23" ht="16.5" customHeight="1" x14ac:dyDescent="0.2">
      <c r="A718" s="38">
        <f>COUNTIF($J$1:J718,"!")</f>
        <v>45</v>
      </c>
      <c r="B718" s="163" t="str">
        <f>IFERROR(VLOOKUP(C718,元件库!$B:$O,3,FALSE),"")</f>
        <v>变压器</v>
      </c>
      <c r="C718" s="298" t="s">
        <v>3169</v>
      </c>
      <c r="D718" s="165">
        <f>IFERROR(VLOOKUP(C718,元件库!$B:$O,2,FALSE),"")</f>
        <v>0</v>
      </c>
      <c r="E718" s="166" t="s">
        <v>29</v>
      </c>
      <c r="F718" s="166">
        <v>1</v>
      </c>
      <c r="G718" s="42">
        <f>IFERROR(J718*K718,"")</f>
        <v>33630</v>
      </c>
      <c r="H718" s="42">
        <f>IFERROR(G718*F718,"")</f>
        <v>33630</v>
      </c>
      <c r="I718" s="167"/>
      <c r="J718" s="168">
        <f>P$1</f>
        <v>1</v>
      </c>
      <c r="K718" s="169">
        <f>IFERROR(M718*L718,"")</f>
        <v>33630</v>
      </c>
      <c r="L718" s="170">
        <v>0.95</v>
      </c>
      <c r="M718" s="171">
        <f>IFERROR(VLOOKUP(C718,元件库!$B:$O,11,FALSE),"")</f>
        <v>35400</v>
      </c>
      <c r="N718" s="172" t="str">
        <f ca="1">IF(ISNUMBER(FIND("IF",_xlfn.FORMULATEXT(M718))),"","值")</f>
        <v/>
      </c>
      <c r="O718" s="174"/>
      <c r="P718" s="161" t="str">
        <f>IFERROR(((MID(C718,FIND(" ",C718)+1,FIND("*",C718)-FIND(" ",C718)-1)*MID(C718,FIND("*",C718)+1,FIND("*",MID(C718,FIND("*",C718)+1,30))-1))+(MID(C718,FIND(" ",C718)+1,FIND("*",C718)-FIND(" ",C718)-1)*MID(C718,FIND("*",C718)+1+FIND("*",MID(C718,FIND("*",C718)+1,30)),30))+(MID(C718,FIND("*",C718)+1,FIND("*",MID(C718,FIND("*",C718)+1,30))-1)*MID(C718,FIND("*",C718)+1+FIND("*",MID(C718,FIND("*",C718)+1,30)),30)))/500000+IFERROR(IF(ROUND(MID(C718,FIND("*",C718)+FIND("*",MID(C718,FIND("*",C718)+1,30))+1,10),0)&gt;=350,(MID(C718,FIND(" ",C718)+1,FIND("*",C718)-FIND(" ",C718)-1)*MID(C718,FIND("*",C718)+1,FIND("*",MID(C718,FIND("*",C718)+1,30))-1))/2000000,(MID(C718,FIND(" ",C718)+1,FIND("*",C718)-FIND(" ",C718)-1)*MID(C718,FIND("*",C718)+1,FIND("*",MID(C718,FIND("*",C718)+1,30))-1))/1000000),""),"")</f>
        <v/>
      </c>
      <c r="Q718" s="157"/>
    </row>
    <row r="719" spans="1:23" ht="16.5" customHeight="1" x14ac:dyDescent="0.2">
      <c r="A719" s="38">
        <f>COUNTIF($J$1:J719,"!")</f>
        <v>45</v>
      </c>
      <c r="B719" s="177" t="s">
        <v>107</v>
      </c>
      <c r="C719" s="164"/>
      <c r="D719" s="166"/>
      <c r="E719" s="166"/>
      <c r="F719" s="166"/>
      <c r="G719" s="42"/>
      <c r="H719" s="42"/>
      <c r="I719" s="178">
        <f>SUM(H718:H719)</f>
        <v>33630</v>
      </c>
      <c r="J719" s="168"/>
      <c r="K719" s="169"/>
      <c r="L719" s="170"/>
      <c r="M719" s="171"/>
      <c r="O719" s="174"/>
      <c r="P719" s="162"/>
      <c r="Q719" s="157"/>
    </row>
    <row r="720" spans="1:23" s="161" customFormat="1" ht="16.5" customHeight="1" x14ac:dyDescent="0.2">
      <c r="A720" s="38">
        <f>COUNTIF($J$1:J720,"!")</f>
        <v>45</v>
      </c>
      <c r="B720" s="179" t="s">
        <v>79</v>
      </c>
      <c r="C720" s="164"/>
      <c r="D720" s="166"/>
      <c r="E720" s="166"/>
      <c r="F720" s="166"/>
      <c r="G720" s="42"/>
      <c r="H720" s="42">
        <f>K720*L720</f>
        <v>0</v>
      </c>
      <c r="I720" s="167"/>
      <c r="J720" s="168"/>
      <c r="K720" s="169">
        <f>I719</f>
        <v>33630</v>
      </c>
      <c r="L720" s="279"/>
      <c r="M720" s="171"/>
      <c r="O720" s="181"/>
      <c r="P720" s="162"/>
      <c r="Q720" s="162"/>
    </row>
    <row r="721" spans="1:19" ht="16.5" customHeight="1" x14ac:dyDescent="0.2">
      <c r="A721" s="38">
        <f>COUNTIF($J$1:J721,"!")</f>
        <v>45</v>
      </c>
      <c r="B721" s="179" t="s">
        <v>108</v>
      </c>
      <c r="C721" s="164"/>
      <c r="D721" s="166"/>
      <c r="E721" s="166"/>
      <c r="F721" s="166"/>
      <c r="G721" s="184"/>
      <c r="H721" s="42">
        <f>K721*L721</f>
        <v>0</v>
      </c>
      <c r="I721" s="167"/>
      <c r="J721" s="168"/>
      <c r="K721" s="169">
        <f>H720+K720</f>
        <v>33630</v>
      </c>
      <c r="L721" s="299"/>
      <c r="M721" s="171"/>
      <c r="O721" s="161"/>
      <c r="P721" s="162"/>
      <c r="R721" s="157"/>
      <c r="S721" s="157"/>
    </row>
    <row r="722" spans="1:19" ht="16.5" customHeight="1" x14ac:dyDescent="0.15">
      <c r="A722" s="32">
        <f>COUNTIF($J$1:J722,"!")</f>
        <v>46</v>
      </c>
      <c r="B722" s="33" t="s">
        <v>3042</v>
      </c>
      <c r="C722" s="158" t="s">
        <v>3177</v>
      </c>
      <c r="D722" s="159" t="s">
        <v>3175</v>
      </c>
      <c r="E722" s="34" t="s">
        <v>23</v>
      </c>
      <c r="F722" s="159">
        <v>1</v>
      </c>
      <c r="G722" s="36">
        <f>ROUND(SUM(H723:H739),0)</f>
        <v>11665</v>
      </c>
      <c r="H722" s="160" t="str">
        <f>IF(ISNUMBER(FIND(" ",C723)),MID(C723,1,FIND(" ",C723)-1),IF(ISNUMBER(FIND("电容柜",B722)),"GGJ",MID(C723,1,FIND("-",C723)-1)))</f>
        <v>GGD</v>
      </c>
      <c r="I722" s="47" t="str">
        <f>MID(C723,IF(LEN(C723)-LEN(H722)&gt;3,LEN(H722)+2,1),30)</f>
        <v>800*600*2000</v>
      </c>
      <c r="J722" s="48" t="s">
        <v>24</v>
      </c>
      <c r="K722" s="49"/>
      <c r="L722" s="50"/>
      <c r="M722" s="51"/>
      <c r="O722" s="162"/>
    </row>
    <row r="723" spans="1:19" ht="16.5" customHeight="1" x14ac:dyDescent="0.2">
      <c r="A723" s="38">
        <f>COUNTIF($J$1:J723,"!")</f>
        <v>46</v>
      </c>
      <c r="B723" s="163" t="str">
        <f>IFERROR(VLOOKUP(C723,元件库!$B:$O,3,FALSE),"")</f>
        <v>壳体W*D*H</v>
      </c>
      <c r="C723" s="164" t="s">
        <v>2337</v>
      </c>
      <c r="D723" s="165" t="str">
        <f>IFERROR(VLOOKUP(C723,元件库!$B:$O,2,FALSE),"")</f>
        <v>精益联合集团</v>
      </c>
      <c r="E723" s="166" t="str">
        <f t="shared" ref="E723:E734" si="268">IF(D723="欣利铜材","米",IF(B723="熔断器","套","只"))</f>
        <v>只</v>
      </c>
      <c r="F723" s="166">
        <v>1</v>
      </c>
      <c r="G723" s="42">
        <f t="shared" ref="G723:G734" si="269">IFERROR(J723*K723,"")</f>
        <v>1782.4999999999998</v>
      </c>
      <c r="H723" s="42">
        <f t="shared" ref="H723:H734" si="270">IFERROR(G723*F723,"")</f>
        <v>1782.4999999999998</v>
      </c>
      <c r="I723" s="167"/>
      <c r="J723" s="168">
        <f>P$1</f>
        <v>1</v>
      </c>
      <c r="K723" s="169">
        <f t="shared" ref="K723:K734" si="271">IFERROR(M723*L723,"")</f>
        <v>1782.4999999999998</v>
      </c>
      <c r="L723" s="170">
        <v>1.1499999999999999</v>
      </c>
      <c r="M723" s="171">
        <f>IFERROR(VLOOKUP(C723,元件库!$B:$O,11,FALSE),"")</f>
        <v>1550</v>
      </c>
      <c r="N723" s="172" t="str">
        <f t="shared" ref="N723:N734" ca="1" si="272">IF(AND(ISNUMBER(FIND("IF",_xlfn.FORMULATEXT(L723))),ISNUMBER(FIND("IF",_xlfn.FORMULATEXT(M723)))),"","值")</f>
        <v>值</v>
      </c>
      <c r="O723" s="157" t="str">
        <f>B722</f>
        <v>低压进线柜</v>
      </c>
    </row>
    <row r="724" spans="1:19" s="173" customFormat="1" ht="16.5" customHeight="1" x14ac:dyDescent="0.2">
      <c r="A724" s="38">
        <f>COUNTIF($J$1:J724,"!")</f>
        <v>46</v>
      </c>
      <c r="B724" s="163" t="str">
        <f>IFERROR(VLOOKUP(C724,元件库!$B:$O,3,FALSE),"")</f>
        <v/>
      </c>
      <c r="C724" s="164" t="s">
        <v>3053</v>
      </c>
      <c r="D724" s="165" t="str">
        <f>IFERROR(VLOOKUP(C724,元件库!$B:$O,2,FALSE),"")</f>
        <v/>
      </c>
      <c r="E724" s="166" t="str">
        <f t="shared" si="268"/>
        <v>只</v>
      </c>
      <c r="F724" s="166">
        <v>3</v>
      </c>
      <c r="G724" s="42" t="str">
        <f t="shared" si="269"/>
        <v/>
      </c>
      <c r="H724" s="42" t="str">
        <f t="shared" si="270"/>
        <v/>
      </c>
      <c r="I724" s="167"/>
      <c r="J724" s="168">
        <f t="shared" ref="J724:J734" si="273">P$1</f>
        <v>1</v>
      </c>
      <c r="K724" s="169" t="str">
        <f t="shared" si="271"/>
        <v/>
      </c>
      <c r="L724" s="170" t="str">
        <f>IFERROR(VLOOKUP(C724,元件库!$B:$O,10,FALSE),"1.00")</f>
        <v>1.00</v>
      </c>
      <c r="M724" s="171" t="str">
        <f>IFERROR(VLOOKUP(C724,元件库!$B:$O,11,FALSE),"")</f>
        <v/>
      </c>
      <c r="N724" s="172" t="str">
        <f t="shared" ca="1" si="272"/>
        <v/>
      </c>
      <c r="P724" s="161"/>
    </row>
    <row r="725" spans="1:19" s="173" customFormat="1" ht="16.5" customHeight="1" x14ac:dyDescent="0.2">
      <c r="A725" s="38">
        <f>COUNTIF($J$1:J725,"!")</f>
        <v>46</v>
      </c>
      <c r="B725" s="163" t="str">
        <f>IFERROR(VLOOKUP(C725,元件库!$B:$O,3,FALSE),"")</f>
        <v>刀开关</v>
      </c>
      <c r="C725" s="164" t="s">
        <v>3051</v>
      </c>
      <c r="D725" s="165" t="str">
        <f>IFERROR(VLOOKUP(C725,元件库!$B:$O,2,FALSE),"")</f>
        <v>精益联合集团</v>
      </c>
      <c r="E725" s="166" t="str">
        <f t="shared" si="268"/>
        <v>只</v>
      </c>
      <c r="F725" s="166">
        <v>1</v>
      </c>
      <c r="G725" s="42">
        <f t="shared" si="269"/>
        <v>573.1</v>
      </c>
      <c r="H725" s="42">
        <f t="shared" si="270"/>
        <v>573.1</v>
      </c>
      <c r="I725" s="167"/>
      <c r="J725" s="168">
        <f t="shared" si="273"/>
        <v>1</v>
      </c>
      <c r="K725" s="169">
        <f t="shared" si="271"/>
        <v>573.1</v>
      </c>
      <c r="L725" s="170">
        <f>IFERROR(VLOOKUP(C725,元件库!$B:$O,10,FALSE),"1.00")</f>
        <v>0.55000000000000004</v>
      </c>
      <c r="M725" s="171">
        <f>IFERROR(VLOOKUP(C725,元件库!$B:$O,11,FALSE),"")</f>
        <v>1042</v>
      </c>
      <c r="N725" s="172" t="str">
        <f t="shared" ca="1" si="272"/>
        <v/>
      </c>
      <c r="P725" s="161"/>
    </row>
    <row r="726" spans="1:19" s="173" customFormat="1" ht="16.5" customHeight="1" x14ac:dyDescent="0.2">
      <c r="A726" s="38">
        <f>COUNTIF($J$1:J726,"!")</f>
        <v>46</v>
      </c>
      <c r="B726" s="163" t="str">
        <f>IFERROR(VLOOKUP(C726,元件库!$B:$O,3,FALSE),"")</f>
        <v>框架断路器</v>
      </c>
      <c r="C726" s="164" t="s">
        <v>3171</v>
      </c>
      <c r="D726" s="165" t="str">
        <f>IFERROR(VLOOKUP(C726,元件库!$B:$O,2,FALSE),"")</f>
        <v>吉坤电气</v>
      </c>
      <c r="E726" s="166" t="str">
        <f t="shared" si="268"/>
        <v>只</v>
      </c>
      <c r="F726" s="166">
        <v>1</v>
      </c>
      <c r="G726" s="42">
        <f t="shared" si="269"/>
        <v>3990</v>
      </c>
      <c r="H726" s="42">
        <f t="shared" si="270"/>
        <v>3990</v>
      </c>
      <c r="I726" s="167"/>
      <c r="J726" s="168">
        <f t="shared" si="273"/>
        <v>1</v>
      </c>
      <c r="K726" s="169">
        <f t="shared" si="271"/>
        <v>3990</v>
      </c>
      <c r="L726" s="170">
        <f>IFERROR(VLOOKUP(C726,元件库!$B:$O,10,FALSE),"1.00")</f>
        <v>1</v>
      </c>
      <c r="M726" s="171">
        <f>IFERROR(VLOOKUP(C726,元件库!$B:$O,11,FALSE),"")</f>
        <v>3990</v>
      </c>
      <c r="N726" s="172" t="str">
        <f t="shared" ca="1" si="272"/>
        <v/>
      </c>
      <c r="P726" s="161"/>
    </row>
    <row r="727" spans="1:19" s="173" customFormat="1" ht="16.5" customHeight="1" x14ac:dyDescent="0.2">
      <c r="A727" s="38">
        <f>COUNTIF($J$1:J727,"!")</f>
        <v>46</v>
      </c>
      <c r="B727" s="163" t="str">
        <f>IFERROR(VLOOKUP(C727,元件库!$B:$O,3,FALSE),"")</f>
        <v/>
      </c>
      <c r="C727" s="164" t="s">
        <v>2974</v>
      </c>
      <c r="D727" s="165" t="str">
        <f>IFERROR(VLOOKUP(C727,元件库!$B:$O,2,FALSE),"")</f>
        <v/>
      </c>
      <c r="E727" s="166" t="str">
        <f t="shared" si="268"/>
        <v>只</v>
      </c>
      <c r="F727" s="166">
        <v>3</v>
      </c>
      <c r="G727" s="42" t="str">
        <f t="shared" si="269"/>
        <v/>
      </c>
      <c r="H727" s="42" t="str">
        <f t="shared" si="270"/>
        <v/>
      </c>
      <c r="I727" s="167"/>
      <c r="J727" s="168">
        <f t="shared" si="273"/>
        <v>1</v>
      </c>
      <c r="K727" s="169" t="str">
        <f t="shared" si="271"/>
        <v/>
      </c>
      <c r="L727" s="170" t="str">
        <f>IFERROR(VLOOKUP(C727,元件库!$B:$O,10,FALSE),"1.00")</f>
        <v>1.00</v>
      </c>
      <c r="M727" s="171" t="str">
        <f>IFERROR(VLOOKUP(C727,元件库!$B:$O,11,FALSE),"")</f>
        <v/>
      </c>
      <c r="N727" s="172" t="str">
        <f t="shared" ca="1" si="272"/>
        <v/>
      </c>
      <c r="P727" s="161"/>
    </row>
    <row r="728" spans="1:19" s="173" customFormat="1" ht="16.5" customHeight="1" x14ac:dyDescent="0.2">
      <c r="A728" s="38">
        <f>COUNTIF($J$1:J728,"!")</f>
        <v>46</v>
      </c>
      <c r="B728" s="163" t="str">
        <f>IFERROR(VLOOKUP(C728,元件库!$B:$O,3,FALSE),"")</f>
        <v>电流.电压表</v>
      </c>
      <c r="C728" s="164" t="s">
        <v>1899</v>
      </c>
      <c r="D728" s="165" t="str">
        <f>IFERROR(VLOOKUP(C728,元件库!$B:$O,2,FALSE),"")</f>
        <v>精益联合集团</v>
      </c>
      <c r="E728" s="166" t="str">
        <f t="shared" si="268"/>
        <v>只</v>
      </c>
      <c r="F728" s="166">
        <v>6</v>
      </c>
      <c r="G728" s="42">
        <f t="shared" si="269"/>
        <v>13.750000000000002</v>
      </c>
      <c r="H728" s="42">
        <f t="shared" si="270"/>
        <v>82.500000000000014</v>
      </c>
      <c r="I728" s="167"/>
      <c r="J728" s="168">
        <f t="shared" si="273"/>
        <v>1</v>
      </c>
      <c r="K728" s="169">
        <f t="shared" si="271"/>
        <v>13.750000000000002</v>
      </c>
      <c r="L728" s="170">
        <f>IFERROR(VLOOKUP(C728,元件库!$B:$O,10,FALSE),"1.00")</f>
        <v>0.55000000000000004</v>
      </c>
      <c r="M728" s="171">
        <f>IFERROR(VLOOKUP(C728,元件库!$B:$O,11,FALSE),"")</f>
        <v>25</v>
      </c>
      <c r="N728" s="172" t="str">
        <f t="shared" ca="1" si="272"/>
        <v/>
      </c>
      <c r="P728" s="161"/>
    </row>
    <row r="729" spans="1:19" s="173" customFormat="1" ht="16.5" customHeight="1" x14ac:dyDescent="0.2">
      <c r="A729" s="38">
        <f>COUNTIF($J$1:J729,"!")</f>
        <v>46</v>
      </c>
      <c r="B729" s="163" t="str">
        <f>IFERROR(VLOOKUP(C729,元件库!$B:$O,3,FALSE),"")</f>
        <v>指示灯</v>
      </c>
      <c r="C729" s="164" t="s">
        <v>3044</v>
      </c>
      <c r="D729" s="165" t="str">
        <f>IFERROR(VLOOKUP(C729,元件库!$B:$O,2,FALSE),"")</f>
        <v>精益联合集团</v>
      </c>
      <c r="E729" s="166" t="str">
        <f t="shared" si="268"/>
        <v>只</v>
      </c>
      <c r="F729" s="166">
        <v>3</v>
      </c>
      <c r="G729" s="42">
        <f t="shared" si="269"/>
        <v>2.3100000000000005</v>
      </c>
      <c r="H729" s="42">
        <f t="shared" si="270"/>
        <v>6.9300000000000015</v>
      </c>
      <c r="I729" s="167"/>
      <c r="J729" s="168">
        <f t="shared" si="273"/>
        <v>1</v>
      </c>
      <c r="K729" s="169">
        <f t="shared" si="271"/>
        <v>2.3100000000000005</v>
      </c>
      <c r="L729" s="170">
        <f>IFERROR(VLOOKUP(C729,元件库!$B:$O,10,FALSE),"1.00")</f>
        <v>0.55000000000000004</v>
      </c>
      <c r="M729" s="171">
        <f>IFERROR(VLOOKUP(C729,元件库!$B:$O,11,FALSE),"")</f>
        <v>4.2</v>
      </c>
      <c r="N729" s="172" t="str">
        <f t="shared" ca="1" si="272"/>
        <v/>
      </c>
      <c r="P729" s="161"/>
    </row>
    <row r="730" spans="1:19" s="173" customFormat="1" ht="16.5" customHeight="1" x14ac:dyDescent="0.2">
      <c r="A730" s="38">
        <f>COUNTIF($J$1:J730,"!")</f>
        <v>46</v>
      </c>
      <c r="B730" s="163" t="str">
        <f>IFERROR(VLOOKUP(C730,元件库!$B:$O,3,FALSE),"")</f>
        <v/>
      </c>
      <c r="C730" s="164" t="s">
        <v>3045</v>
      </c>
      <c r="D730" s="165" t="str">
        <f>IFERROR(VLOOKUP(C730,元件库!$B:$O,2,FALSE),"")</f>
        <v/>
      </c>
      <c r="E730" s="166" t="str">
        <f t="shared" si="268"/>
        <v>只</v>
      </c>
      <c r="F730" s="166">
        <v>2</v>
      </c>
      <c r="G730" s="42" t="str">
        <f t="shared" si="269"/>
        <v/>
      </c>
      <c r="H730" s="42" t="str">
        <f t="shared" si="270"/>
        <v/>
      </c>
      <c r="I730" s="167"/>
      <c r="J730" s="168">
        <f t="shared" si="273"/>
        <v>1</v>
      </c>
      <c r="K730" s="169" t="str">
        <f t="shared" si="271"/>
        <v/>
      </c>
      <c r="L730" s="170" t="str">
        <f>IFERROR(VLOOKUP(C730,元件库!$B:$O,10,FALSE),"1.00")</f>
        <v>1.00</v>
      </c>
      <c r="M730" s="171" t="str">
        <f>IFERROR(VLOOKUP(C730,元件库!$B:$O,11,FALSE),"")</f>
        <v/>
      </c>
      <c r="N730" s="172" t="str">
        <f t="shared" ca="1" si="272"/>
        <v/>
      </c>
      <c r="P730" s="161"/>
    </row>
    <row r="731" spans="1:19" s="173" customFormat="1" ht="16.5" customHeight="1" x14ac:dyDescent="0.2">
      <c r="A731" s="38">
        <f>COUNTIF($J$1:J731,"!")</f>
        <v>46</v>
      </c>
      <c r="B731" s="163" t="str">
        <f>IFERROR(VLOOKUP(C731,元件库!$B:$O,3,FALSE),"")</f>
        <v>铜排</v>
      </c>
      <c r="C731" s="164" t="s">
        <v>1889</v>
      </c>
      <c r="D731" s="165" t="str">
        <f>IFERROR(VLOOKUP(C731,元件库!$B:$O,2,FALSE),"")</f>
        <v>欣利铜材</v>
      </c>
      <c r="E731" s="166" t="str">
        <f t="shared" si="268"/>
        <v>米</v>
      </c>
      <c r="F731" s="166">
        <v>11</v>
      </c>
      <c r="G731" s="42">
        <f t="shared" si="269"/>
        <v>182.62799999999999</v>
      </c>
      <c r="H731" s="42">
        <f t="shared" si="270"/>
        <v>2008.9079999999999</v>
      </c>
      <c r="I731" s="167"/>
      <c r="J731" s="168">
        <f t="shared" si="273"/>
        <v>1</v>
      </c>
      <c r="K731" s="169">
        <f t="shared" si="271"/>
        <v>182.62799999999999</v>
      </c>
      <c r="L731" s="170">
        <f>IFERROR(VLOOKUP(C731,元件库!$B:$O,10,FALSE),"1.00")</f>
        <v>1</v>
      </c>
      <c r="M731" s="171">
        <f>IFERROR(VLOOKUP(C731,元件库!$B:$O,11,FALSE),"")</f>
        <v>182.62799999999999</v>
      </c>
      <c r="N731" s="172" t="str">
        <f t="shared" ca="1" si="272"/>
        <v/>
      </c>
      <c r="P731" s="161"/>
    </row>
    <row r="732" spans="1:19" s="175" customFormat="1" ht="16.5" customHeight="1" x14ac:dyDescent="0.2">
      <c r="A732" s="38">
        <f>COUNTIF($J$1:J732,"!")</f>
        <v>46</v>
      </c>
      <c r="B732" s="163" t="s">
        <v>2171</v>
      </c>
      <c r="C732" s="164" t="s">
        <v>1889</v>
      </c>
      <c r="D732" s="165" t="str">
        <f>IFERROR(VLOOKUP(C732,元件库!$B:$O,2,FALSE),"")</f>
        <v>欣利铜材</v>
      </c>
      <c r="E732" s="166" t="str">
        <f t="shared" si="268"/>
        <v>米</v>
      </c>
      <c r="F732" s="166">
        <f>1*(MID(O732,FIND("-",O732)+1,FIND("*",O732)-FIND("-",O732)-1)/1000*IF(B732="水平排",3,1))</f>
        <v>2.4000000000000004</v>
      </c>
      <c r="G732" s="42">
        <f t="shared" si="269"/>
        <v>182.62799999999999</v>
      </c>
      <c r="H732" s="42">
        <f t="shared" si="270"/>
        <v>438.30720000000002</v>
      </c>
      <c r="I732" s="167"/>
      <c r="J732" s="168">
        <f t="shared" si="273"/>
        <v>1</v>
      </c>
      <c r="K732" s="169">
        <f t="shared" si="271"/>
        <v>182.62799999999999</v>
      </c>
      <c r="L732" s="170">
        <f>IFERROR(VLOOKUP(C732,元件库!$B:$O,10,FALSE),"1.00")</f>
        <v>1</v>
      </c>
      <c r="M732" s="171">
        <f>IFERROR(VLOOKUP(C732,元件库!$B:$O,11,FALSE),"")</f>
        <v>182.62799999999999</v>
      </c>
      <c r="N732" s="172" t="str">
        <f t="shared" ca="1" si="272"/>
        <v/>
      </c>
      <c r="O732" s="174" t="str">
        <f>O736</f>
        <v>GGD-800*600*2000</v>
      </c>
    </row>
    <row r="733" spans="1:19" s="175" customFormat="1" ht="16.5" customHeight="1" x14ac:dyDescent="0.2">
      <c r="A733" s="38">
        <f>COUNTIF($J$1:J733,"!")</f>
        <v>46</v>
      </c>
      <c r="B733" s="163" t="s">
        <v>2725</v>
      </c>
      <c r="C733" s="164" t="s">
        <v>2326</v>
      </c>
      <c r="D733" s="165" t="str">
        <f>IFERROR(VLOOKUP(C733,元件库!$B:$O,2,FALSE),"")</f>
        <v>欣利铜材</v>
      </c>
      <c r="E733" s="166" t="str">
        <f t="shared" si="268"/>
        <v>米</v>
      </c>
      <c r="F733" s="166">
        <f>1*(MID(O733,FIND("-",O733)+1,FIND("*",O733)-FIND("-",O733)-1)/1000*IF(B733="水平排",3,1))</f>
        <v>0.8</v>
      </c>
      <c r="G733" s="42">
        <f t="shared" si="269"/>
        <v>81.167999999999992</v>
      </c>
      <c r="H733" s="42">
        <f t="shared" si="270"/>
        <v>64.934399999999997</v>
      </c>
      <c r="I733" s="167"/>
      <c r="J733" s="168">
        <f t="shared" si="273"/>
        <v>1</v>
      </c>
      <c r="K733" s="169">
        <f t="shared" si="271"/>
        <v>81.167999999999992</v>
      </c>
      <c r="L733" s="170">
        <f>IFERROR(VLOOKUP(C733,元件库!$B:$O,10,FALSE),"1.00")</f>
        <v>1</v>
      </c>
      <c r="M733" s="171">
        <f>IFERROR(VLOOKUP(C733,元件库!$B:$O,11,FALSE),"")</f>
        <v>81.167999999999992</v>
      </c>
      <c r="N733" s="172" t="str">
        <f t="shared" ca="1" si="272"/>
        <v/>
      </c>
      <c r="O733" s="176" t="str">
        <f>O736</f>
        <v>GGD-800*600*2000</v>
      </c>
    </row>
    <row r="734" spans="1:19" s="175" customFormat="1" ht="16.5" customHeight="1" x14ac:dyDescent="0.2">
      <c r="A734" s="38">
        <f>COUNTIF($J$1:J734,"!")</f>
        <v>46</v>
      </c>
      <c r="B734" s="163" t="s">
        <v>2172</v>
      </c>
      <c r="C734" s="164" t="s">
        <v>2326</v>
      </c>
      <c r="D734" s="165" t="str">
        <f>IFERROR(VLOOKUP(C734,元件库!$B:$O,2,FALSE),"")</f>
        <v>欣利铜材</v>
      </c>
      <c r="E734" s="166" t="str">
        <f t="shared" si="268"/>
        <v>米</v>
      </c>
      <c r="F734" s="166">
        <f>1*(MID(O734,FIND("-",O734)+1,FIND("*",O734)-FIND("-",O734)-1)/1000*IF(B734="水平排",3,1))</f>
        <v>0.8</v>
      </c>
      <c r="G734" s="42">
        <f t="shared" si="269"/>
        <v>81.167999999999992</v>
      </c>
      <c r="H734" s="42">
        <f t="shared" si="270"/>
        <v>64.934399999999997</v>
      </c>
      <c r="I734" s="167"/>
      <c r="J734" s="168">
        <f t="shared" si="273"/>
        <v>1</v>
      </c>
      <c r="K734" s="169">
        <f t="shared" si="271"/>
        <v>81.167999999999992</v>
      </c>
      <c r="L734" s="170">
        <f>IFERROR(VLOOKUP(C734,元件库!$B:$O,10,FALSE),"1.00")</f>
        <v>1</v>
      </c>
      <c r="M734" s="171">
        <f>IFERROR(VLOOKUP(C734,元件库!$B:$O,11,FALSE),"")</f>
        <v>81.167999999999992</v>
      </c>
      <c r="N734" s="172" t="str">
        <f t="shared" ca="1" si="272"/>
        <v/>
      </c>
      <c r="O734" s="176" t="str">
        <f>O736</f>
        <v>GGD-800*600*2000</v>
      </c>
    </row>
    <row r="735" spans="1:19" ht="16.5" customHeight="1" x14ac:dyDescent="0.2">
      <c r="A735" s="38">
        <f>COUNTIF($J$1:J735,"!")</f>
        <v>46</v>
      </c>
      <c r="B735" s="177" t="s">
        <v>107</v>
      </c>
      <c r="C735" s="164"/>
      <c r="D735" s="166"/>
      <c r="E735" s="166"/>
      <c r="F735" s="166"/>
      <c r="G735" s="42"/>
      <c r="H735" s="42"/>
      <c r="I735" s="178">
        <f>SUM(H723:H735)</f>
        <v>9012.1139999999996</v>
      </c>
      <c r="J735" s="168"/>
      <c r="K735" s="169"/>
      <c r="L735" s="170"/>
      <c r="M735" s="171"/>
      <c r="O735" s="174"/>
      <c r="P735" s="162"/>
    </row>
    <row r="736" spans="1:19" ht="16.5" customHeight="1" x14ac:dyDescent="0.2">
      <c r="A736" s="38">
        <f>COUNTIF($J$1:J736,"!")</f>
        <v>46</v>
      </c>
      <c r="B736" s="179" t="s">
        <v>47</v>
      </c>
      <c r="C736" s="164"/>
      <c r="D736" s="166"/>
      <c r="E736" s="166"/>
      <c r="F736" s="166"/>
      <c r="G736" s="42"/>
      <c r="H736" s="42">
        <f>IFERROR(J736*K736,"")</f>
        <v>800</v>
      </c>
      <c r="I736" s="167"/>
      <c r="J736" s="168">
        <f>P$1</f>
        <v>1</v>
      </c>
      <c r="K736" s="169">
        <f>L736*M736</f>
        <v>800</v>
      </c>
      <c r="L736" s="170" t="str">
        <f>IFERROR(VLOOKUP(C736,元件库!$B:$O,10,FALSE),"1.00")</f>
        <v>1.00</v>
      </c>
      <c r="M736" s="171">
        <f>IF(B736="成套费",IF(ISNUMBER(FIND("GGD",O736)),800,IF(OR(ISNUMBER(FIND("GCS",O736)),ISNUMBER(FIND("GCK",O736)),ISNUMBER(FIND("MNS",O736))),1000,"")),IF(B736="辅件费",IF(VLOOKUP(A737,A$1:B736,2,FALSE)="低压电容柜",500,300),""))</f>
        <v>800</v>
      </c>
      <c r="O736" s="180" t="str">
        <f>C723</f>
        <v>GGD-800*600*2000</v>
      </c>
    </row>
    <row r="737" spans="1:23" s="161" customFormat="1" ht="16.5" customHeight="1" x14ac:dyDescent="0.2">
      <c r="A737" s="38">
        <f>COUNTIF($J$1:J737,"!")</f>
        <v>46</v>
      </c>
      <c r="B737" s="179" t="s">
        <v>49</v>
      </c>
      <c r="C737" s="164"/>
      <c r="D737" s="166"/>
      <c r="E737" s="166"/>
      <c r="F737" s="166"/>
      <c r="G737" s="42"/>
      <c r="H737" s="42">
        <f>IFERROR(J737*K737,"")</f>
        <v>300</v>
      </c>
      <c r="I737" s="167"/>
      <c r="J737" s="168">
        <f>P$1</f>
        <v>1</v>
      </c>
      <c r="K737" s="169">
        <f>L737*M737</f>
        <v>300</v>
      </c>
      <c r="L737" s="170" t="str">
        <f>IFERROR(VLOOKUP(C737,元件库!$B:$O,10,FALSE),"1.00")</f>
        <v>1.00</v>
      </c>
      <c r="M737" s="171">
        <f>IF(B737="成套费",IF(ISNUMBER(FIND("GGD",O737)),800,IF(OR(ISNUMBER(FIND("GCS",O737)),ISNUMBER(FIND("GCK",O737)),ISNUMBER(FIND("MNS",O737))),1000,"")),IF(B737="辅件费",IF(VLOOKUP(A737,A$1:B737,2,FALSE)="低压电容柜",500,300),""))</f>
        <v>300</v>
      </c>
      <c r="N737" s="181"/>
      <c r="O737" s="182" t="str">
        <f>O736</f>
        <v>GGD-800*600*2000</v>
      </c>
      <c r="R737" s="162"/>
      <c r="S737" s="162"/>
    </row>
    <row r="738" spans="1:23" s="161" customFormat="1" ht="16.5" customHeight="1" x14ac:dyDescent="0.2">
      <c r="A738" s="38">
        <f>COUNTIF($J$1:J738,"!")</f>
        <v>46</v>
      </c>
      <c r="B738" s="179" t="s">
        <v>79</v>
      </c>
      <c r="C738" s="164"/>
      <c r="D738" s="166"/>
      <c r="E738" s="166"/>
      <c r="F738" s="166"/>
      <c r="G738" s="42"/>
      <c r="H738" s="42">
        <f>K738*L738</f>
        <v>1213.4536799999998</v>
      </c>
      <c r="I738" s="167"/>
      <c r="J738" s="168"/>
      <c r="K738" s="169">
        <f>SUM(H735:H737)+I735</f>
        <v>10112.114</v>
      </c>
      <c r="L738" s="279">
        <f>R$1</f>
        <v>0.12</v>
      </c>
      <c r="M738" s="171"/>
      <c r="N738" s="181"/>
      <c r="O738" s="162"/>
      <c r="R738" s="162"/>
      <c r="S738" s="162"/>
    </row>
    <row r="739" spans="1:23" s="162" customFormat="1" ht="16.5" customHeight="1" x14ac:dyDescent="0.2">
      <c r="A739" s="38">
        <f>COUNTIF($J$1:J739,"!")</f>
        <v>46</v>
      </c>
      <c r="B739" s="179" t="s">
        <v>108</v>
      </c>
      <c r="C739" s="164"/>
      <c r="D739" s="166"/>
      <c r="E739" s="166"/>
      <c r="F739" s="166"/>
      <c r="G739" s="184"/>
      <c r="H739" s="42">
        <f>K739*L739</f>
        <v>339.76703040000001</v>
      </c>
      <c r="I739" s="167"/>
      <c r="J739" s="168"/>
      <c r="K739" s="169">
        <f>H738+K738</f>
        <v>11325.56768</v>
      </c>
      <c r="L739" s="279">
        <f>T$1</f>
        <v>0.03</v>
      </c>
      <c r="M739" s="171"/>
      <c r="N739" s="161"/>
      <c r="P739" s="161"/>
      <c r="T739" s="157"/>
      <c r="U739" s="157"/>
      <c r="V739" s="157"/>
      <c r="W739" s="157"/>
    </row>
    <row r="740" spans="1:23" s="162" customFormat="1" ht="16.5" customHeight="1" x14ac:dyDescent="0.15">
      <c r="A740" s="32">
        <f>COUNTIF($J$1:J740,"!")</f>
        <v>47</v>
      </c>
      <c r="B740" s="33" t="s">
        <v>3046</v>
      </c>
      <c r="C740" s="158" t="s">
        <v>3178</v>
      </c>
      <c r="D740" s="159" t="s">
        <v>3175</v>
      </c>
      <c r="E740" s="34" t="s">
        <v>23</v>
      </c>
      <c r="F740" s="159">
        <v>1</v>
      </c>
      <c r="G740" s="36">
        <f>ROUND(SUM(H741:H757),0)</f>
        <v>9117</v>
      </c>
      <c r="H740" s="160" t="str">
        <f>IF(ISNUMBER(FIND(" ",C741)),MID(C741,1,FIND(" ",C741)-1),IF(ISNUMBER(FIND("电容柜",B740)),"GGJ",MID(C741,1,FIND("-",C741)-1)))</f>
        <v>GGJ</v>
      </c>
      <c r="I740" s="47" t="str">
        <f>MID(C741,IF(LEN(C741)-LEN(H740)&gt;3,LEN(H740)+2,1),30)</f>
        <v>800*600*2000</v>
      </c>
      <c r="J740" s="48" t="s">
        <v>24</v>
      </c>
      <c r="K740" s="49"/>
      <c r="L740" s="50"/>
      <c r="M740" s="51"/>
      <c r="N740" s="161"/>
      <c r="P740" s="161"/>
      <c r="T740" s="157"/>
      <c r="U740" s="157"/>
      <c r="V740" s="157"/>
      <c r="W740" s="157"/>
    </row>
    <row r="741" spans="1:23" s="162" customFormat="1" ht="16.5" customHeight="1" x14ac:dyDescent="0.2">
      <c r="A741" s="38">
        <f>COUNTIF($J$1:J741,"!")</f>
        <v>47</v>
      </c>
      <c r="B741" s="163" t="str">
        <f>IFERROR(VLOOKUP(C741,元件库!$B:$O,3,FALSE),"")</f>
        <v>壳体W*D*H</v>
      </c>
      <c r="C741" s="164" t="s">
        <v>2337</v>
      </c>
      <c r="D741" s="165" t="str">
        <f>IFERROR(VLOOKUP(C741,元件库!$B:$O,2,FALSE),"")</f>
        <v>精益联合集团</v>
      </c>
      <c r="E741" s="166" t="str">
        <f t="shared" ref="E741:E752" si="274">IF(D741="欣利铜材","米",IF(B741="熔断器","套","只"))</f>
        <v>只</v>
      </c>
      <c r="F741" s="166">
        <v>1</v>
      </c>
      <c r="G741" s="42">
        <f t="shared" ref="G741:G752" si="275">IFERROR(J741*K741,"")</f>
        <v>1550</v>
      </c>
      <c r="H741" s="42">
        <f t="shared" ref="H741:H752" si="276">IFERROR(G741*F741,"")</f>
        <v>1550</v>
      </c>
      <c r="I741" s="167"/>
      <c r="J741" s="168">
        <f>P$1</f>
        <v>1</v>
      </c>
      <c r="K741" s="169">
        <f t="shared" ref="K741:K752" si="277">IFERROR(M741*L741,"")</f>
        <v>1550</v>
      </c>
      <c r="L741" s="170">
        <f>IFERROR(VLOOKUP(C741,元件库!$B:$O,10,FALSE),"1.00")</f>
        <v>1</v>
      </c>
      <c r="M741" s="171">
        <f>IFERROR(VLOOKUP(C741,元件库!$B:$O,11,FALSE),"")</f>
        <v>1550</v>
      </c>
      <c r="N741" s="172" t="str">
        <f t="shared" ref="N741:N752" ca="1" si="278">IF(AND(ISNUMBER(FIND("IF",_xlfn.FORMULATEXT(L741))),ISNUMBER(FIND("IF",_xlfn.FORMULATEXT(M741)))),"","值")</f>
        <v/>
      </c>
      <c r="O741" s="157" t="str">
        <f>B740</f>
        <v>低压电容柜</v>
      </c>
      <c r="P741" s="161"/>
      <c r="T741" s="157"/>
      <c r="U741" s="157"/>
      <c r="V741" s="157"/>
      <c r="W741" s="157"/>
    </row>
    <row r="742" spans="1:23" s="173" customFormat="1" ht="16.5" customHeight="1" x14ac:dyDescent="0.2">
      <c r="A742" s="38">
        <f>COUNTIF($J$1:J742,"!")</f>
        <v>47</v>
      </c>
      <c r="B742" s="163" t="str">
        <f>IFERROR(VLOOKUP(C742,元件库!$B:$O,3,FALSE),"")</f>
        <v>刀开关</v>
      </c>
      <c r="C742" s="164" t="s">
        <v>2849</v>
      </c>
      <c r="D742" s="165" t="str">
        <f>IFERROR(VLOOKUP(C742,元件库!$B:$O,2,FALSE),"")</f>
        <v>精益联合集团</v>
      </c>
      <c r="E742" s="166" t="str">
        <f t="shared" si="274"/>
        <v>只</v>
      </c>
      <c r="F742" s="166">
        <v>1</v>
      </c>
      <c r="G742" s="42">
        <f t="shared" si="275"/>
        <v>192.50000000000003</v>
      </c>
      <c r="H742" s="42">
        <f t="shared" si="276"/>
        <v>192.50000000000003</v>
      </c>
      <c r="I742" s="167"/>
      <c r="J742" s="168">
        <f t="shared" ref="J742:J752" si="279">P$1</f>
        <v>1</v>
      </c>
      <c r="K742" s="169">
        <f t="shared" si="277"/>
        <v>192.50000000000003</v>
      </c>
      <c r="L742" s="170">
        <f>IFERROR(VLOOKUP(C742,元件库!$B:$O,10,FALSE),"1.00")</f>
        <v>0.55000000000000004</v>
      </c>
      <c r="M742" s="171">
        <f>IFERROR(VLOOKUP(C742,元件库!$B:$O,11,FALSE),"")</f>
        <v>350</v>
      </c>
      <c r="N742" s="172" t="str">
        <f t="shared" ca="1" si="278"/>
        <v/>
      </c>
      <c r="P742" s="161"/>
    </row>
    <row r="743" spans="1:23" s="173" customFormat="1" ht="16.5" customHeight="1" x14ac:dyDescent="0.2">
      <c r="A743" s="38">
        <f>COUNTIF($J$1:J743,"!")</f>
        <v>47</v>
      </c>
      <c r="B743" s="163" t="str">
        <f>IFERROR(VLOOKUP(C743,元件库!$B:$O,3,FALSE),"")</f>
        <v/>
      </c>
      <c r="C743" s="164" t="s">
        <v>3128</v>
      </c>
      <c r="D743" s="165" t="str">
        <f>IFERROR(VLOOKUP(C743,元件库!$B:$O,2,FALSE),"")</f>
        <v/>
      </c>
      <c r="E743" s="166" t="str">
        <f t="shared" si="274"/>
        <v>只</v>
      </c>
      <c r="F743" s="166">
        <v>3</v>
      </c>
      <c r="G743" s="42" t="str">
        <f t="shared" si="275"/>
        <v/>
      </c>
      <c r="H743" s="42" t="str">
        <f t="shared" si="276"/>
        <v/>
      </c>
      <c r="I743" s="167"/>
      <c r="J743" s="168">
        <f t="shared" si="279"/>
        <v>1</v>
      </c>
      <c r="K743" s="169" t="str">
        <f t="shared" si="277"/>
        <v/>
      </c>
      <c r="L743" s="170" t="str">
        <f>IFERROR(VLOOKUP(C743,元件库!$B:$O,10,FALSE),"1.00")</f>
        <v>1.00</v>
      </c>
      <c r="M743" s="171" t="str">
        <f>IFERROR(VLOOKUP(C743,元件库!$B:$O,11,FALSE),"")</f>
        <v/>
      </c>
      <c r="N743" s="172" t="str">
        <f t="shared" ca="1" si="278"/>
        <v/>
      </c>
      <c r="P743" s="161"/>
    </row>
    <row r="744" spans="1:23" s="173" customFormat="1" ht="16.5" customHeight="1" x14ac:dyDescent="0.2">
      <c r="A744" s="38">
        <f>COUNTIF($J$1:J744,"!")</f>
        <v>47</v>
      </c>
      <c r="B744" s="163" t="str">
        <f>IFERROR(VLOOKUP(C744,元件库!$B:$O,3,FALSE),"")</f>
        <v>电流.电压表</v>
      </c>
      <c r="C744" s="164" t="s">
        <v>1899</v>
      </c>
      <c r="D744" s="165" t="str">
        <f>IFERROR(VLOOKUP(C744,元件库!$B:$O,2,FALSE),"")</f>
        <v>精益联合集团</v>
      </c>
      <c r="E744" s="166" t="str">
        <f t="shared" si="274"/>
        <v>只</v>
      </c>
      <c r="F744" s="166">
        <v>6</v>
      </c>
      <c r="G744" s="42">
        <f t="shared" si="275"/>
        <v>13.750000000000002</v>
      </c>
      <c r="H744" s="42">
        <f t="shared" si="276"/>
        <v>82.500000000000014</v>
      </c>
      <c r="I744" s="167"/>
      <c r="J744" s="168">
        <f t="shared" si="279"/>
        <v>1</v>
      </c>
      <c r="K744" s="169">
        <f t="shared" si="277"/>
        <v>13.750000000000002</v>
      </c>
      <c r="L744" s="170">
        <f>IFERROR(VLOOKUP(C744,元件库!$B:$O,10,FALSE),"1.00")</f>
        <v>0.55000000000000004</v>
      </c>
      <c r="M744" s="171">
        <f>IFERROR(VLOOKUP(C744,元件库!$B:$O,11,FALSE),"")</f>
        <v>25</v>
      </c>
      <c r="N744" s="172" t="str">
        <f t="shared" ca="1" si="278"/>
        <v/>
      </c>
      <c r="P744" s="161"/>
    </row>
    <row r="745" spans="1:23" s="173" customFormat="1" ht="16.5" customHeight="1" x14ac:dyDescent="0.2">
      <c r="A745" s="38">
        <f>COUNTIF($J$1:J745,"!")</f>
        <v>47</v>
      </c>
      <c r="B745" s="163" t="str">
        <f>IFERROR(VLOOKUP(C745,元件库!$B:$O,3,FALSE),"")</f>
        <v>氧化锌避雷器</v>
      </c>
      <c r="C745" s="164" t="s">
        <v>3048</v>
      </c>
      <c r="D745" s="165" t="str">
        <f>IFERROR(VLOOKUP(C745,元件库!$B:$O,2,FALSE),"")</f>
        <v>精益联合集团</v>
      </c>
      <c r="E745" s="166" t="str">
        <f t="shared" si="274"/>
        <v>只</v>
      </c>
      <c r="F745" s="166">
        <v>3</v>
      </c>
      <c r="G745" s="42">
        <f t="shared" si="275"/>
        <v>9.9</v>
      </c>
      <c r="H745" s="42">
        <f t="shared" si="276"/>
        <v>29.700000000000003</v>
      </c>
      <c r="I745" s="167"/>
      <c r="J745" s="168">
        <f t="shared" si="279"/>
        <v>1</v>
      </c>
      <c r="K745" s="169">
        <f t="shared" si="277"/>
        <v>9.9</v>
      </c>
      <c r="L745" s="170">
        <f>IFERROR(VLOOKUP(C745,元件库!$B:$O,10,FALSE),"1.00")</f>
        <v>0.55000000000000004</v>
      </c>
      <c r="M745" s="171">
        <f>IFERROR(VLOOKUP(C745,元件库!$B:$O,11,FALSE),"")</f>
        <v>18</v>
      </c>
      <c r="N745" s="172" t="str">
        <f t="shared" ca="1" si="278"/>
        <v/>
      </c>
      <c r="P745" s="161"/>
    </row>
    <row r="746" spans="1:23" s="173" customFormat="1" ht="16.5" customHeight="1" x14ac:dyDescent="0.2">
      <c r="A746" s="38">
        <f>COUNTIF($J$1:J746,"!")</f>
        <v>47</v>
      </c>
      <c r="B746" s="163" t="str">
        <f>IFERROR(VLOOKUP(C746,元件库!$B:$O,3,FALSE),"")</f>
        <v>智能电容器</v>
      </c>
      <c r="C746" s="164" t="s">
        <v>3149</v>
      </c>
      <c r="D746" s="165" t="str">
        <f>IFERROR(VLOOKUP(C746,元件库!$B:$O,2,FALSE),"")</f>
        <v>九康电气</v>
      </c>
      <c r="E746" s="166" t="str">
        <f t="shared" si="274"/>
        <v>只</v>
      </c>
      <c r="F746" s="166">
        <v>5</v>
      </c>
      <c r="G746" s="42">
        <f t="shared" si="275"/>
        <v>715</v>
      </c>
      <c r="H746" s="42">
        <f t="shared" si="276"/>
        <v>3575</v>
      </c>
      <c r="I746" s="167"/>
      <c r="J746" s="168">
        <f t="shared" si="279"/>
        <v>1</v>
      </c>
      <c r="K746" s="169">
        <f t="shared" si="277"/>
        <v>715</v>
      </c>
      <c r="L746" s="170">
        <f>IFERROR(VLOOKUP(C746,元件库!$B:$O,10,FALSE),"1.00")</f>
        <v>1</v>
      </c>
      <c r="M746" s="171">
        <f>IFERROR(VLOOKUP(C746,元件库!$B:$O,11,FALSE),"")</f>
        <v>715</v>
      </c>
      <c r="N746" s="172" t="str">
        <f t="shared" ca="1" si="278"/>
        <v/>
      </c>
      <c r="P746" s="161"/>
    </row>
    <row r="747" spans="1:23" s="173" customFormat="1" ht="16.5" customHeight="1" x14ac:dyDescent="0.2">
      <c r="A747" s="38">
        <f>COUNTIF($J$1:J747,"!")</f>
        <v>47</v>
      </c>
      <c r="B747" s="163" t="str">
        <f>IFERROR(VLOOKUP(C747,元件库!$B:$O,3,FALSE),"")</f>
        <v>补偿控制器</v>
      </c>
      <c r="C747" s="164" t="s">
        <v>3129</v>
      </c>
      <c r="D747" s="165" t="str">
        <f>IFERROR(VLOOKUP(C747,元件库!$B:$O,2,FALSE),"")</f>
        <v>九康电气</v>
      </c>
      <c r="E747" s="166" t="str">
        <f t="shared" si="274"/>
        <v>只</v>
      </c>
      <c r="F747" s="166">
        <v>1</v>
      </c>
      <c r="G747" s="42">
        <f t="shared" si="275"/>
        <v>320</v>
      </c>
      <c r="H747" s="42">
        <f t="shared" si="276"/>
        <v>320</v>
      </c>
      <c r="I747" s="167"/>
      <c r="J747" s="168">
        <f t="shared" si="279"/>
        <v>1</v>
      </c>
      <c r="K747" s="169">
        <f t="shared" si="277"/>
        <v>320</v>
      </c>
      <c r="L747" s="170">
        <f>IFERROR(VLOOKUP(C747,元件库!$B:$O,10,FALSE),"1.00")</f>
        <v>1</v>
      </c>
      <c r="M747" s="171">
        <f>IFERROR(VLOOKUP(C747,元件库!$B:$O,11,FALSE),"")</f>
        <v>320</v>
      </c>
      <c r="N747" s="172" t="str">
        <f t="shared" ca="1" si="278"/>
        <v/>
      </c>
      <c r="P747" s="161"/>
    </row>
    <row r="748" spans="1:23" s="173" customFormat="1" ht="16.5" customHeight="1" x14ac:dyDescent="0.2">
      <c r="A748" s="38">
        <f>COUNTIF($J$1:J748,"!")</f>
        <v>47</v>
      </c>
      <c r="B748" s="163" t="str">
        <f>IFERROR(VLOOKUP(C748,元件库!$B:$O,3,FALSE),"")</f>
        <v>指示灯</v>
      </c>
      <c r="C748" s="164" t="s">
        <v>3044</v>
      </c>
      <c r="D748" s="165" t="str">
        <f>IFERROR(VLOOKUP(C748,元件库!$B:$O,2,FALSE),"")</f>
        <v>精益联合集团</v>
      </c>
      <c r="E748" s="166" t="str">
        <f t="shared" si="274"/>
        <v>只</v>
      </c>
      <c r="F748" s="166">
        <v>5</v>
      </c>
      <c r="G748" s="42">
        <f t="shared" si="275"/>
        <v>2.3100000000000005</v>
      </c>
      <c r="H748" s="42">
        <f t="shared" si="276"/>
        <v>11.550000000000002</v>
      </c>
      <c r="I748" s="167"/>
      <c r="J748" s="168">
        <f t="shared" si="279"/>
        <v>1</v>
      </c>
      <c r="K748" s="169">
        <f t="shared" si="277"/>
        <v>2.3100000000000005</v>
      </c>
      <c r="L748" s="170">
        <f>IFERROR(VLOOKUP(C748,元件库!$B:$O,10,FALSE),"1.00")</f>
        <v>0.55000000000000004</v>
      </c>
      <c r="M748" s="171">
        <f>IFERROR(VLOOKUP(C748,元件库!$B:$O,11,FALSE),"")</f>
        <v>4.2</v>
      </c>
      <c r="N748" s="172" t="str">
        <f t="shared" ca="1" si="278"/>
        <v/>
      </c>
      <c r="P748" s="161"/>
    </row>
    <row r="749" spans="1:23" s="173" customFormat="1" ht="16.5" customHeight="1" x14ac:dyDescent="0.2">
      <c r="A749" s="38">
        <f>COUNTIF($J$1:J749,"!")</f>
        <v>47</v>
      </c>
      <c r="B749" s="163" t="str">
        <f>IFERROR(VLOOKUP(C749,元件库!$B:$O,3,FALSE),"")</f>
        <v>铜排</v>
      </c>
      <c r="C749" s="164" t="s">
        <v>1910</v>
      </c>
      <c r="D749" s="165" t="str">
        <f>IFERROR(VLOOKUP(C749,元件库!$B:$O,2,FALSE),"")</f>
        <v>欣利铜材</v>
      </c>
      <c r="E749" s="166" t="str">
        <f t="shared" si="274"/>
        <v>米</v>
      </c>
      <c r="F749" s="166">
        <v>6</v>
      </c>
      <c r="G749" s="42">
        <f t="shared" si="275"/>
        <v>45.656999999999996</v>
      </c>
      <c r="H749" s="42">
        <f t="shared" si="276"/>
        <v>273.94200000000001</v>
      </c>
      <c r="I749" s="167"/>
      <c r="J749" s="168">
        <f t="shared" si="279"/>
        <v>1</v>
      </c>
      <c r="K749" s="169">
        <f t="shared" si="277"/>
        <v>45.656999999999996</v>
      </c>
      <c r="L749" s="170">
        <f>IFERROR(VLOOKUP(C749,元件库!$B:$O,10,FALSE),"1.00")</f>
        <v>1</v>
      </c>
      <c r="M749" s="171">
        <f>IFERROR(VLOOKUP(C749,元件库!$B:$O,11,FALSE),"")</f>
        <v>45.656999999999996</v>
      </c>
      <c r="N749" s="172" t="str">
        <f t="shared" ca="1" si="278"/>
        <v/>
      </c>
      <c r="P749" s="161"/>
    </row>
    <row r="750" spans="1:23" s="175" customFormat="1" ht="16.5" customHeight="1" x14ac:dyDescent="0.2">
      <c r="A750" s="38">
        <f>COUNTIF($J$1:J750,"!")</f>
        <v>47</v>
      </c>
      <c r="B750" s="163" t="s">
        <v>2171</v>
      </c>
      <c r="C750" s="164" t="s">
        <v>1889</v>
      </c>
      <c r="D750" s="165" t="str">
        <f>IFERROR(VLOOKUP(C750,元件库!$B:$O,2,FALSE),"")</f>
        <v>欣利铜材</v>
      </c>
      <c r="E750" s="166" t="str">
        <f t="shared" si="274"/>
        <v>米</v>
      </c>
      <c r="F750" s="166">
        <f>1*(MID(O750,FIND("-",O750)+1,FIND("*",O750)-FIND("-",O750)-1)/1000*IF(B750="水平排",3,1))</f>
        <v>2.4000000000000004</v>
      </c>
      <c r="G750" s="42">
        <f t="shared" si="275"/>
        <v>182.62799999999999</v>
      </c>
      <c r="H750" s="42">
        <f t="shared" si="276"/>
        <v>438.30720000000002</v>
      </c>
      <c r="I750" s="167"/>
      <c r="J750" s="168">
        <f t="shared" si="279"/>
        <v>1</v>
      </c>
      <c r="K750" s="169">
        <f t="shared" si="277"/>
        <v>182.62799999999999</v>
      </c>
      <c r="L750" s="170">
        <f>IFERROR(VLOOKUP(C750,元件库!$B:$O,10,FALSE),"1.00")</f>
        <v>1</v>
      </c>
      <c r="M750" s="171">
        <f>IFERROR(VLOOKUP(C750,元件库!$B:$O,11,FALSE),"")</f>
        <v>182.62799999999999</v>
      </c>
      <c r="N750" s="172" t="str">
        <f t="shared" ca="1" si="278"/>
        <v/>
      </c>
      <c r="O750" s="174" t="str">
        <f>O754</f>
        <v>GGD-800*600*2000</v>
      </c>
    </row>
    <row r="751" spans="1:23" s="175" customFormat="1" ht="16.5" customHeight="1" x14ac:dyDescent="0.2">
      <c r="A751" s="38">
        <f>COUNTIF($J$1:J751,"!")</f>
        <v>47</v>
      </c>
      <c r="B751" s="163" t="s">
        <v>2725</v>
      </c>
      <c r="C751" s="164" t="s">
        <v>2326</v>
      </c>
      <c r="D751" s="165" t="str">
        <f>IFERROR(VLOOKUP(C751,元件库!$B:$O,2,FALSE),"")</f>
        <v>欣利铜材</v>
      </c>
      <c r="E751" s="166" t="str">
        <f t="shared" si="274"/>
        <v>米</v>
      </c>
      <c r="F751" s="166">
        <f>1*(MID(O751,FIND("-",O751)+1,FIND("*",O751)-FIND("-",O751)-1)/1000*IF(B751="水平排",3,1))</f>
        <v>0.8</v>
      </c>
      <c r="G751" s="42">
        <f t="shared" si="275"/>
        <v>81.167999999999992</v>
      </c>
      <c r="H751" s="42">
        <f t="shared" si="276"/>
        <v>64.934399999999997</v>
      </c>
      <c r="I751" s="167"/>
      <c r="J751" s="168">
        <f t="shared" si="279"/>
        <v>1</v>
      </c>
      <c r="K751" s="169">
        <f t="shared" si="277"/>
        <v>81.167999999999992</v>
      </c>
      <c r="L751" s="170">
        <f>IFERROR(VLOOKUP(C751,元件库!$B:$O,10,FALSE),"1.00")</f>
        <v>1</v>
      </c>
      <c r="M751" s="171">
        <f>IFERROR(VLOOKUP(C751,元件库!$B:$O,11,FALSE),"")</f>
        <v>81.167999999999992</v>
      </c>
      <c r="N751" s="172" t="str">
        <f t="shared" ca="1" si="278"/>
        <v/>
      </c>
      <c r="O751" s="176" t="str">
        <f>O754</f>
        <v>GGD-800*600*2000</v>
      </c>
    </row>
    <row r="752" spans="1:23" s="175" customFormat="1" ht="16.5" customHeight="1" x14ac:dyDescent="0.2">
      <c r="A752" s="38">
        <f>COUNTIF($J$1:J752,"!")</f>
        <v>47</v>
      </c>
      <c r="B752" s="163" t="s">
        <v>2172</v>
      </c>
      <c r="C752" s="164" t="s">
        <v>2326</v>
      </c>
      <c r="D752" s="165" t="str">
        <f>IFERROR(VLOOKUP(C752,元件库!$B:$O,2,FALSE),"")</f>
        <v>欣利铜材</v>
      </c>
      <c r="E752" s="166" t="str">
        <f t="shared" si="274"/>
        <v>米</v>
      </c>
      <c r="F752" s="166">
        <f>1*(MID(O752,FIND("-",O752)+1,FIND("*",O752)-FIND("-",O752)-1)/1000*IF(B752="水平排",3,1))</f>
        <v>0.8</v>
      </c>
      <c r="G752" s="42">
        <f t="shared" si="275"/>
        <v>81.167999999999992</v>
      </c>
      <c r="H752" s="42">
        <f t="shared" si="276"/>
        <v>64.934399999999997</v>
      </c>
      <c r="I752" s="167"/>
      <c r="J752" s="168">
        <f t="shared" si="279"/>
        <v>1</v>
      </c>
      <c r="K752" s="169">
        <f t="shared" si="277"/>
        <v>81.167999999999992</v>
      </c>
      <c r="L752" s="170">
        <f>IFERROR(VLOOKUP(C752,元件库!$B:$O,10,FALSE),"1.00")</f>
        <v>1</v>
      </c>
      <c r="M752" s="171">
        <f>IFERROR(VLOOKUP(C752,元件库!$B:$O,11,FALSE),"")</f>
        <v>81.167999999999992</v>
      </c>
      <c r="N752" s="172" t="str">
        <f t="shared" ca="1" si="278"/>
        <v/>
      </c>
      <c r="O752" s="176" t="str">
        <f>O754</f>
        <v>GGD-800*600*2000</v>
      </c>
    </row>
    <row r="753" spans="1:19" ht="16.5" customHeight="1" x14ac:dyDescent="0.2">
      <c r="A753" s="38">
        <f>COUNTIF($J$1:J753,"!")</f>
        <v>47</v>
      </c>
      <c r="B753" s="177" t="s">
        <v>107</v>
      </c>
      <c r="C753" s="164"/>
      <c r="D753" s="166"/>
      <c r="E753" s="166"/>
      <c r="F753" s="166"/>
      <c r="G753" s="42"/>
      <c r="H753" s="42"/>
      <c r="I753" s="178">
        <f>SUM(H741:H753)</f>
        <v>6603.3680000000004</v>
      </c>
      <c r="J753" s="168"/>
      <c r="K753" s="169"/>
      <c r="L753" s="170"/>
      <c r="M753" s="171"/>
      <c r="O753" s="174"/>
      <c r="P753" s="162"/>
    </row>
    <row r="754" spans="1:19" ht="16.5" customHeight="1" x14ac:dyDescent="0.2">
      <c r="A754" s="38">
        <f>COUNTIF($J$1:J754,"!")</f>
        <v>47</v>
      </c>
      <c r="B754" s="179" t="s">
        <v>47</v>
      </c>
      <c r="C754" s="164"/>
      <c r="D754" s="166"/>
      <c r="E754" s="166"/>
      <c r="F754" s="166"/>
      <c r="G754" s="42"/>
      <c r="H754" s="42">
        <f>IFERROR(J754*K754,"")</f>
        <v>800</v>
      </c>
      <c r="I754" s="167"/>
      <c r="J754" s="168">
        <f>P$1</f>
        <v>1</v>
      </c>
      <c r="K754" s="169">
        <f>L754*M754</f>
        <v>800</v>
      </c>
      <c r="L754" s="170" t="str">
        <f>IFERROR(VLOOKUP(C754,元件库!$B:$O,10,FALSE),"1.00")</f>
        <v>1.00</v>
      </c>
      <c r="M754" s="171">
        <f>IF(B754="成套费",IF(ISNUMBER(FIND("GGD",O754)),800,IF(OR(ISNUMBER(FIND("GCS",O754)),ISNUMBER(FIND("GCK",O754)),ISNUMBER(FIND("MNS",O754))),1000,"")),IF(B754="辅件费",IF(VLOOKUP(A755,A$1:B754,2,FALSE)="低压电容柜",500,300),""))</f>
        <v>800</v>
      </c>
      <c r="O754" s="180" t="str">
        <f>C741</f>
        <v>GGD-800*600*2000</v>
      </c>
    </row>
    <row r="755" spans="1:19" s="161" customFormat="1" ht="16.5" customHeight="1" x14ac:dyDescent="0.2">
      <c r="A755" s="38">
        <f>COUNTIF($J$1:J755,"!")</f>
        <v>47</v>
      </c>
      <c r="B755" s="179" t="s">
        <v>49</v>
      </c>
      <c r="C755" s="164"/>
      <c r="D755" s="166"/>
      <c r="E755" s="166"/>
      <c r="F755" s="166"/>
      <c r="G755" s="42"/>
      <c r="H755" s="42">
        <f>IFERROR(J755*K755,"")</f>
        <v>500</v>
      </c>
      <c r="I755" s="167"/>
      <c r="J755" s="168">
        <f>P$1</f>
        <v>1</v>
      </c>
      <c r="K755" s="169">
        <f>L755*M755</f>
        <v>500</v>
      </c>
      <c r="L755" s="170" t="str">
        <f>IFERROR(VLOOKUP(C755,元件库!$B:$O,10,FALSE),"1.00")</f>
        <v>1.00</v>
      </c>
      <c r="M755" s="171">
        <f>IF(B755="成套费",IF(ISNUMBER(FIND("GGD",O755)),800,IF(OR(ISNUMBER(FIND("GCS",O755)),ISNUMBER(FIND("GCK",O755)),ISNUMBER(FIND("MNS",O755))),1000,"")),IF(B755="辅件费",IF(VLOOKUP(A755,A$1:B755,2,FALSE)="低压电容柜",500,300),""))</f>
        <v>500</v>
      </c>
      <c r="N755" s="181"/>
      <c r="O755" s="182" t="str">
        <f>O754</f>
        <v>GGD-800*600*2000</v>
      </c>
      <c r="R755" s="162"/>
      <c r="S755" s="162"/>
    </row>
    <row r="756" spans="1:19" s="161" customFormat="1" ht="16.5" customHeight="1" x14ac:dyDescent="0.2">
      <c r="A756" s="38">
        <f>COUNTIF($J$1:J756,"!")</f>
        <v>47</v>
      </c>
      <c r="B756" s="179" t="s">
        <v>79</v>
      </c>
      <c r="C756" s="164"/>
      <c r="D756" s="166"/>
      <c r="E756" s="166"/>
      <c r="F756" s="166"/>
      <c r="G756" s="42"/>
      <c r="H756" s="42">
        <f>K756*L756</f>
        <v>948.40416000000005</v>
      </c>
      <c r="I756" s="167"/>
      <c r="J756" s="168"/>
      <c r="K756" s="169">
        <f>SUM(H753:H755)+I753</f>
        <v>7903.3680000000004</v>
      </c>
      <c r="L756" s="279">
        <f>R$1</f>
        <v>0.12</v>
      </c>
      <c r="M756" s="171"/>
      <c r="N756" s="181"/>
      <c r="O756" s="162"/>
      <c r="R756" s="162"/>
      <c r="S756" s="162"/>
    </row>
    <row r="757" spans="1:19" ht="16.5" customHeight="1" x14ac:dyDescent="0.2">
      <c r="A757" s="38">
        <f>COUNTIF($J$1:J757,"!")</f>
        <v>47</v>
      </c>
      <c r="B757" s="179" t="s">
        <v>108</v>
      </c>
      <c r="C757" s="164"/>
      <c r="D757" s="166"/>
      <c r="E757" s="166"/>
      <c r="F757" s="166"/>
      <c r="G757" s="184"/>
      <c r="H757" s="42">
        <f>K757*L757</f>
        <v>265.55316479999999</v>
      </c>
      <c r="I757" s="167"/>
      <c r="J757" s="168"/>
      <c r="K757" s="169">
        <f>H756+K756</f>
        <v>8851.7721600000004</v>
      </c>
      <c r="L757" s="279">
        <f>T$1</f>
        <v>0.03</v>
      </c>
      <c r="M757" s="171"/>
      <c r="O757" s="162"/>
    </row>
    <row r="758" spans="1:19" ht="16.5" customHeight="1" x14ac:dyDescent="0.15">
      <c r="A758" s="32">
        <f>COUNTIF($J$1:J758,"!")</f>
        <v>48</v>
      </c>
      <c r="B758" s="33" t="s">
        <v>2726</v>
      </c>
      <c r="C758" s="158" t="s">
        <v>3179</v>
      </c>
      <c r="D758" s="159" t="s">
        <v>3175</v>
      </c>
      <c r="E758" s="34" t="s">
        <v>23</v>
      </c>
      <c r="F758" s="159">
        <v>2</v>
      </c>
      <c r="G758" s="36">
        <f>ROUND(SUM(H759:H774),0)</f>
        <v>8797</v>
      </c>
      <c r="H758" s="160" t="str">
        <f>IF(ISNUMBER(FIND(" ",C759)),MID(C759,1,FIND(" ",C759)-1),IF(ISNUMBER(FIND("电容柜",B758)),"GGJ",MID(C759,1,FIND("-",C759)-1)))</f>
        <v>GGD</v>
      </c>
      <c r="I758" s="47" t="str">
        <f>MID(C759,IF(LEN(C759)-LEN(H758)&gt;3,LEN(H758)+2,1),30)</f>
        <v>1200*600*2000</v>
      </c>
      <c r="J758" s="48" t="s">
        <v>24</v>
      </c>
      <c r="K758" s="49"/>
      <c r="L758" s="50"/>
      <c r="M758" s="51"/>
      <c r="O758" s="162"/>
    </row>
    <row r="759" spans="1:19" ht="16.5" customHeight="1" x14ac:dyDescent="0.2">
      <c r="A759" s="38">
        <f>COUNTIF($J$1:J759,"!")</f>
        <v>48</v>
      </c>
      <c r="B759" s="163" t="str">
        <f>IFERROR(VLOOKUP(C759,元件库!$B:$O,3,FALSE),"")</f>
        <v>壳体W*D*H</v>
      </c>
      <c r="C759" s="164" t="s">
        <v>2888</v>
      </c>
      <c r="D759" s="165" t="str">
        <f>IFERROR(VLOOKUP(C759,元件库!$B:$O,2,FALSE),"")</f>
        <v>精益联合集团</v>
      </c>
      <c r="E759" s="166" t="str">
        <f t="shared" ref="E759:E769" si="280">IF(D759="欣利铜材","米",IF(B759="熔断器","套","只"))</f>
        <v>只</v>
      </c>
      <c r="F759" s="166">
        <v>1</v>
      </c>
      <c r="G759" s="42">
        <f t="shared" ref="G759:G769" si="281">IFERROR(J759*K759,"")</f>
        <v>1850</v>
      </c>
      <c r="H759" s="42">
        <f t="shared" ref="H759:H769" si="282">IFERROR(G759*F759,"")</f>
        <v>1850</v>
      </c>
      <c r="I759" s="167"/>
      <c r="J759" s="168">
        <f>P$1</f>
        <v>1</v>
      </c>
      <c r="K759" s="169">
        <f t="shared" ref="K759:K769" si="283">IFERROR(M759*L759,"")</f>
        <v>1850</v>
      </c>
      <c r="L759" s="170">
        <f>IFERROR(VLOOKUP(C759,元件库!$B:$O,10,FALSE),"1.00")</f>
        <v>1</v>
      </c>
      <c r="M759" s="171">
        <f>IFERROR(VLOOKUP(C759,元件库!$B:$O,11,FALSE),"")</f>
        <v>1850</v>
      </c>
      <c r="N759" s="172" t="str">
        <f t="shared" ref="N759:N769" ca="1" si="284">IF(AND(ISNUMBER(FIND("IF",_xlfn.FORMULATEXT(L759))),ISNUMBER(FIND("IF",_xlfn.FORMULATEXT(M759)))),"","值")</f>
        <v/>
      </c>
      <c r="O759" s="157" t="str">
        <f>B758</f>
        <v>低压馈线柜</v>
      </c>
    </row>
    <row r="760" spans="1:19" s="173" customFormat="1" ht="16.5" customHeight="1" x14ac:dyDescent="0.2">
      <c r="A760" s="38">
        <f>COUNTIF($J$1:J760,"!")</f>
        <v>48</v>
      </c>
      <c r="B760" s="163" t="str">
        <f>IFERROR(VLOOKUP(C760,元件库!$B:$O,3,FALSE),"")</f>
        <v>刀开关</v>
      </c>
      <c r="C760" s="164" t="s">
        <v>3051</v>
      </c>
      <c r="D760" s="165" t="str">
        <f>IFERROR(VLOOKUP(C760,元件库!$B:$O,2,FALSE),"")</f>
        <v>精益联合集团</v>
      </c>
      <c r="E760" s="166" t="str">
        <f t="shared" si="280"/>
        <v>只</v>
      </c>
      <c r="F760" s="166">
        <v>1</v>
      </c>
      <c r="G760" s="42">
        <f t="shared" si="281"/>
        <v>573.1</v>
      </c>
      <c r="H760" s="42">
        <f t="shared" si="282"/>
        <v>573.1</v>
      </c>
      <c r="I760" s="167"/>
      <c r="J760" s="168">
        <f t="shared" ref="J760:J769" si="285">P$1</f>
        <v>1</v>
      </c>
      <c r="K760" s="169">
        <f t="shared" si="283"/>
        <v>573.1</v>
      </c>
      <c r="L760" s="170">
        <f>IFERROR(VLOOKUP(C760,元件库!$B:$O,10,FALSE),"1.00")</f>
        <v>0.55000000000000004</v>
      </c>
      <c r="M760" s="171">
        <f>IFERROR(VLOOKUP(C760,元件库!$B:$O,11,FALSE),"")</f>
        <v>1042</v>
      </c>
      <c r="N760" s="172" t="str">
        <f t="shared" ca="1" si="284"/>
        <v/>
      </c>
      <c r="P760" s="161"/>
    </row>
    <row r="761" spans="1:19" s="173" customFormat="1" ht="16.5" customHeight="1" x14ac:dyDescent="0.2">
      <c r="A761" s="38">
        <f>COUNTIF($J$1:J761,"!")</f>
        <v>48</v>
      </c>
      <c r="B761" s="163" t="str">
        <f>IFERROR(VLOOKUP(C761,元件库!$B:$O,3,FALSE),"")</f>
        <v>塑壳断路器</v>
      </c>
      <c r="C761" s="164" t="s">
        <v>3131</v>
      </c>
      <c r="D761" s="165" t="str">
        <f>IFERROR(VLOOKUP(C761,元件库!$B:$O,2,FALSE),"")</f>
        <v>吉坤电气</v>
      </c>
      <c r="E761" s="166" t="str">
        <f t="shared" si="280"/>
        <v>只</v>
      </c>
      <c r="F761" s="166">
        <v>5</v>
      </c>
      <c r="G761" s="42">
        <f t="shared" si="281"/>
        <v>329</v>
      </c>
      <c r="H761" s="42">
        <f t="shared" si="282"/>
        <v>1645</v>
      </c>
      <c r="I761" s="167"/>
      <c r="J761" s="168">
        <f t="shared" si="285"/>
        <v>1</v>
      </c>
      <c r="K761" s="169">
        <f t="shared" si="283"/>
        <v>329</v>
      </c>
      <c r="L761" s="170">
        <f>IFERROR(VLOOKUP(C761,元件库!$B:$O,10,FALSE),"1.00")</f>
        <v>1</v>
      </c>
      <c r="M761" s="171">
        <f>IFERROR(VLOOKUP(C761,元件库!$B:$O,11,FALSE),"")</f>
        <v>329</v>
      </c>
      <c r="N761" s="172" t="str">
        <f t="shared" ca="1" si="284"/>
        <v/>
      </c>
      <c r="P761" s="161"/>
    </row>
    <row r="762" spans="1:19" s="173" customFormat="1" ht="16.5" customHeight="1" x14ac:dyDescent="0.2">
      <c r="A762" s="38">
        <f>COUNTIF($J$1:J762,"!")</f>
        <v>48</v>
      </c>
      <c r="B762" s="163" t="str">
        <f>IFERROR(VLOOKUP(C762,元件库!$B:$O,3,FALSE),"")</f>
        <v/>
      </c>
      <c r="C762" s="164" t="s">
        <v>3151</v>
      </c>
      <c r="D762" s="165" t="str">
        <f>IFERROR(VLOOKUP(C762,元件库!$B:$O,2,FALSE),"")</f>
        <v/>
      </c>
      <c r="E762" s="166" t="str">
        <f t="shared" si="280"/>
        <v>只</v>
      </c>
      <c r="F762" s="166">
        <v>3</v>
      </c>
      <c r="G762" s="42" t="str">
        <f t="shared" si="281"/>
        <v/>
      </c>
      <c r="H762" s="42" t="str">
        <f t="shared" si="282"/>
        <v/>
      </c>
      <c r="I762" s="167"/>
      <c r="J762" s="168">
        <f t="shared" si="285"/>
        <v>1</v>
      </c>
      <c r="K762" s="169" t="str">
        <f t="shared" si="283"/>
        <v/>
      </c>
      <c r="L762" s="170" t="str">
        <f>IFERROR(VLOOKUP(C762,元件库!$B:$O,10,FALSE),"1.00")</f>
        <v>1.00</v>
      </c>
      <c r="M762" s="171" t="str">
        <f>IFERROR(VLOOKUP(C762,元件库!$B:$O,11,FALSE),"")</f>
        <v/>
      </c>
      <c r="N762" s="172" t="str">
        <f t="shared" ca="1" si="284"/>
        <v/>
      </c>
      <c r="P762" s="161"/>
    </row>
    <row r="763" spans="1:19" s="173" customFormat="1" ht="16.5" customHeight="1" x14ac:dyDescent="0.2">
      <c r="A763" s="38">
        <f>COUNTIF($J$1:J763,"!")</f>
        <v>48</v>
      </c>
      <c r="B763" s="163" t="str">
        <f>IFERROR(VLOOKUP(C763,元件库!$B:$O,3,FALSE),"")</f>
        <v>电流.电压表</v>
      </c>
      <c r="C763" s="164" t="s">
        <v>1899</v>
      </c>
      <c r="D763" s="165" t="str">
        <f>IFERROR(VLOOKUP(C763,元件库!$B:$O,2,FALSE),"")</f>
        <v>精益联合集团</v>
      </c>
      <c r="E763" s="166" t="str">
        <f t="shared" si="280"/>
        <v>只</v>
      </c>
      <c r="F763" s="166">
        <v>3</v>
      </c>
      <c r="G763" s="42">
        <f t="shared" si="281"/>
        <v>13.750000000000002</v>
      </c>
      <c r="H763" s="42">
        <f t="shared" si="282"/>
        <v>41.250000000000007</v>
      </c>
      <c r="I763" s="167"/>
      <c r="J763" s="168">
        <f t="shared" si="285"/>
        <v>1</v>
      </c>
      <c r="K763" s="169">
        <f t="shared" si="283"/>
        <v>13.750000000000002</v>
      </c>
      <c r="L763" s="170">
        <f>IFERROR(VLOOKUP(C763,元件库!$B:$O,10,FALSE),"1.00")</f>
        <v>0.55000000000000004</v>
      </c>
      <c r="M763" s="171">
        <f>IFERROR(VLOOKUP(C763,元件库!$B:$O,11,FALSE),"")</f>
        <v>25</v>
      </c>
      <c r="N763" s="172" t="str">
        <f t="shared" ca="1" si="284"/>
        <v/>
      </c>
      <c r="P763" s="161"/>
    </row>
    <row r="764" spans="1:19" s="173" customFormat="1" ht="16.5" customHeight="1" x14ac:dyDescent="0.2">
      <c r="A764" s="38">
        <f>COUNTIF($J$1:J764,"!")</f>
        <v>48</v>
      </c>
      <c r="B764" s="163" t="str">
        <f>IFERROR(VLOOKUP(C764,元件库!$B:$O,3,FALSE),"")</f>
        <v>指示灯</v>
      </c>
      <c r="C764" s="164" t="s">
        <v>3044</v>
      </c>
      <c r="D764" s="165" t="str">
        <f>IFERROR(VLOOKUP(C764,元件库!$B:$O,2,FALSE),"")</f>
        <v>精益联合集团</v>
      </c>
      <c r="E764" s="166" t="str">
        <f t="shared" si="280"/>
        <v>只</v>
      </c>
      <c r="F764" s="166">
        <v>5</v>
      </c>
      <c r="G764" s="42">
        <f t="shared" si="281"/>
        <v>2.3100000000000005</v>
      </c>
      <c r="H764" s="42">
        <f t="shared" si="282"/>
        <v>11.550000000000002</v>
      </c>
      <c r="I764" s="167"/>
      <c r="J764" s="168">
        <f t="shared" si="285"/>
        <v>1</v>
      </c>
      <c r="K764" s="169">
        <f t="shared" si="283"/>
        <v>2.3100000000000005</v>
      </c>
      <c r="L764" s="170">
        <f>IFERROR(VLOOKUP(C764,元件库!$B:$O,10,FALSE),"1.00")</f>
        <v>0.55000000000000004</v>
      </c>
      <c r="M764" s="171">
        <f>IFERROR(VLOOKUP(C764,元件库!$B:$O,11,FALSE),"")</f>
        <v>4.2</v>
      </c>
      <c r="N764" s="172" t="str">
        <f t="shared" ca="1" si="284"/>
        <v/>
      </c>
      <c r="P764" s="161"/>
    </row>
    <row r="765" spans="1:19" s="173" customFormat="1" ht="16.5" customHeight="1" x14ac:dyDescent="0.2">
      <c r="A765" s="38">
        <f>COUNTIF($J$1:J765,"!")</f>
        <v>48</v>
      </c>
      <c r="B765" s="163" t="str">
        <f>IFERROR(VLOOKUP(C765,元件库!$B:$O,3,FALSE),"")</f>
        <v>铜排</v>
      </c>
      <c r="C765" s="164" t="s">
        <v>1889</v>
      </c>
      <c r="D765" s="165" t="str">
        <f>IFERROR(VLOOKUP(C765,元件库!$B:$O,2,FALSE),"")</f>
        <v>欣利铜材</v>
      </c>
      <c r="E765" s="166" t="str">
        <f t="shared" si="280"/>
        <v>米</v>
      </c>
      <c r="F765" s="166">
        <v>6</v>
      </c>
      <c r="G765" s="42">
        <f t="shared" si="281"/>
        <v>182.62799999999999</v>
      </c>
      <c r="H765" s="42">
        <f t="shared" si="282"/>
        <v>1095.768</v>
      </c>
      <c r="I765" s="167"/>
      <c r="J765" s="168">
        <f t="shared" si="285"/>
        <v>1</v>
      </c>
      <c r="K765" s="169">
        <f t="shared" si="283"/>
        <v>182.62799999999999</v>
      </c>
      <c r="L765" s="170">
        <f>IFERROR(VLOOKUP(C765,元件库!$B:$O,10,FALSE),"1.00")</f>
        <v>1</v>
      </c>
      <c r="M765" s="171">
        <f>IFERROR(VLOOKUP(C765,元件库!$B:$O,11,FALSE),"")</f>
        <v>182.62799999999999</v>
      </c>
      <c r="N765" s="172" t="str">
        <f t="shared" ca="1" si="284"/>
        <v/>
      </c>
      <c r="P765" s="161"/>
    </row>
    <row r="766" spans="1:19" s="173" customFormat="1" ht="16.5" customHeight="1" x14ac:dyDescent="0.2">
      <c r="A766" s="38">
        <f>COUNTIF($J$1:J766,"!")</f>
        <v>48</v>
      </c>
      <c r="B766" s="163" t="str">
        <f>IFERROR(VLOOKUP(C766,元件库!$B:$O,3,FALSE),"")</f>
        <v>铜排</v>
      </c>
      <c r="C766" s="164" t="s">
        <v>1887</v>
      </c>
      <c r="D766" s="165" t="str">
        <f>IFERROR(VLOOKUP(C766,元件库!$B:$O,2,FALSE),"")</f>
        <v>欣利铜材</v>
      </c>
      <c r="E766" s="166" t="str">
        <f t="shared" si="280"/>
        <v>米</v>
      </c>
      <c r="F766" s="166">
        <v>6</v>
      </c>
      <c r="G766" s="42">
        <f t="shared" si="281"/>
        <v>76.094999999999999</v>
      </c>
      <c r="H766" s="42">
        <f t="shared" si="282"/>
        <v>456.57</v>
      </c>
      <c r="I766" s="167"/>
      <c r="J766" s="168">
        <f t="shared" si="285"/>
        <v>1</v>
      </c>
      <c r="K766" s="169">
        <f t="shared" si="283"/>
        <v>76.094999999999999</v>
      </c>
      <c r="L766" s="170">
        <f>IFERROR(VLOOKUP(C766,元件库!$B:$O,10,FALSE),"1.00")</f>
        <v>1</v>
      </c>
      <c r="M766" s="171">
        <f>IFERROR(VLOOKUP(C766,元件库!$B:$O,11,FALSE),"")</f>
        <v>76.094999999999999</v>
      </c>
      <c r="N766" s="172" t="str">
        <f t="shared" ca="1" si="284"/>
        <v/>
      </c>
      <c r="P766" s="161"/>
    </row>
    <row r="767" spans="1:19" s="175" customFormat="1" ht="16.5" customHeight="1" x14ac:dyDescent="0.2">
      <c r="A767" s="38">
        <f>COUNTIF($J$1:J767,"!")</f>
        <v>48</v>
      </c>
      <c r="B767" s="163" t="s">
        <v>2171</v>
      </c>
      <c r="C767" s="164" t="s">
        <v>1889</v>
      </c>
      <c r="D767" s="165" t="str">
        <f>IFERROR(VLOOKUP(C767,元件库!$B:$O,2,FALSE),"")</f>
        <v>欣利铜材</v>
      </c>
      <c r="E767" s="166" t="str">
        <f t="shared" si="280"/>
        <v>米</v>
      </c>
      <c r="F767" s="166">
        <f>1*(MID(O767,FIND("-",O767)+1,FIND("*",O767)-FIND("-",O767)-1)/1000*IF(B767="水平排",3,1))</f>
        <v>3.5999999999999996</v>
      </c>
      <c r="G767" s="42">
        <f t="shared" si="281"/>
        <v>182.62799999999999</v>
      </c>
      <c r="H767" s="42">
        <f t="shared" si="282"/>
        <v>657.46079999999984</v>
      </c>
      <c r="I767" s="167"/>
      <c r="J767" s="168">
        <f t="shared" si="285"/>
        <v>1</v>
      </c>
      <c r="K767" s="169">
        <f t="shared" si="283"/>
        <v>182.62799999999999</v>
      </c>
      <c r="L767" s="170">
        <f>IFERROR(VLOOKUP(C767,元件库!$B:$O,10,FALSE),"1.00")</f>
        <v>1</v>
      </c>
      <c r="M767" s="171">
        <f>IFERROR(VLOOKUP(C767,元件库!$B:$O,11,FALSE),"")</f>
        <v>182.62799999999999</v>
      </c>
      <c r="N767" s="172" t="str">
        <f t="shared" ca="1" si="284"/>
        <v/>
      </c>
      <c r="O767" s="174" t="str">
        <f>O771</f>
        <v>GGD-1200*600*2000</v>
      </c>
    </row>
    <row r="768" spans="1:19" s="175" customFormat="1" ht="16.5" customHeight="1" x14ac:dyDescent="0.2">
      <c r="A768" s="38">
        <f>COUNTIF($J$1:J768,"!")</f>
        <v>48</v>
      </c>
      <c r="B768" s="163" t="s">
        <v>2725</v>
      </c>
      <c r="C768" s="164" t="s">
        <v>2326</v>
      </c>
      <c r="D768" s="165" t="str">
        <f>IFERROR(VLOOKUP(C768,元件库!$B:$O,2,FALSE),"")</f>
        <v>欣利铜材</v>
      </c>
      <c r="E768" s="166" t="str">
        <f t="shared" si="280"/>
        <v>米</v>
      </c>
      <c r="F768" s="166">
        <f>1*(MID(O768,FIND("-",O768)+1,FIND("*",O768)-FIND("-",O768)-1)/1000*IF(B768="水平排",3,1))</f>
        <v>1.2</v>
      </c>
      <c r="G768" s="42">
        <f t="shared" si="281"/>
        <v>81.167999999999992</v>
      </c>
      <c r="H768" s="42">
        <f t="shared" si="282"/>
        <v>97.401599999999988</v>
      </c>
      <c r="I768" s="167"/>
      <c r="J768" s="168">
        <f t="shared" si="285"/>
        <v>1</v>
      </c>
      <c r="K768" s="169">
        <f t="shared" si="283"/>
        <v>81.167999999999992</v>
      </c>
      <c r="L768" s="170">
        <f>IFERROR(VLOOKUP(C768,元件库!$B:$O,10,FALSE),"1.00")</f>
        <v>1</v>
      </c>
      <c r="M768" s="171">
        <f>IFERROR(VLOOKUP(C768,元件库!$B:$O,11,FALSE),"")</f>
        <v>81.167999999999992</v>
      </c>
      <c r="N768" s="172" t="str">
        <f t="shared" ca="1" si="284"/>
        <v/>
      </c>
      <c r="O768" s="176" t="str">
        <f>O771</f>
        <v>GGD-1200*600*2000</v>
      </c>
    </row>
    <row r="769" spans="1:22" s="175" customFormat="1" ht="16.5" customHeight="1" x14ac:dyDescent="0.2">
      <c r="A769" s="38">
        <f>COUNTIF($J$1:J769,"!")</f>
        <v>48</v>
      </c>
      <c r="B769" s="163" t="s">
        <v>2172</v>
      </c>
      <c r="C769" s="164" t="s">
        <v>2326</v>
      </c>
      <c r="D769" s="165" t="str">
        <f>IFERROR(VLOOKUP(C769,元件库!$B:$O,2,FALSE),"")</f>
        <v>欣利铜材</v>
      </c>
      <c r="E769" s="166" t="str">
        <f t="shared" si="280"/>
        <v>米</v>
      </c>
      <c r="F769" s="166">
        <f>1*(MID(O769,FIND("-",O769)+1,FIND("*",O769)-FIND("-",O769)-1)/1000*IF(B769="水平排",3,1))</f>
        <v>1.2</v>
      </c>
      <c r="G769" s="42">
        <f t="shared" si="281"/>
        <v>81.167999999999992</v>
      </c>
      <c r="H769" s="42">
        <f t="shared" si="282"/>
        <v>97.401599999999988</v>
      </c>
      <c r="I769" s="167"/>
      <c r="J769" s="168">
        <f t="shared" si="285"/>
        <v>1</v>
      </c>
      <c r="K769" s="169">
        <f t="shared" si="283"/>
        <v>81.167999999999992</v>
      </c>
      <c r="L769" s="170">
        <f>IFERROR(VLOOKUP(C769,元件库!$B:$O,10,FALSE),"1.00")</f>
        <v>1</v>
      </c>
      <c r="M769" s="171">
        <f>IFERROR(VLOOKUP(C769,元件库!$B:$O,11,FALSE),"")</f>
        <v>81.167999999999992</v>
      </c>
      <c r="N769" s="172" t="str">
        <f t="shared" ca="1" si="284"/>
        <v/>
      </c>
      <c r="O769" s="176" t="str">
        <f>O771</f>
        <v>GGD-1200*600*2000</v>
      </c>
    </row>
    <row r="770" spans="1:22" ht="16.5" customHeight="1" x14ac:dyDescent="0.2">
      <c r="A770" s="38">
        <f>COUNTIF($J$1:J770,"!")</f>
        <v>48</v>
      </c>
      <c r="B770" s="177" t="s">
        <v>107</v>
      </c>
      <c r="C770" s="164"/>
      <c r="D770" s="166"/>
      <c r="E770" s="166"/>
      <c r="F770" s="166"/>
      <c r="G770" s="42"/>
      <c r="H770" s="42"/>
      <c r="I770" s="178">
        <f>SUM(H759:H770)</f>
        <v>6525.5020000000004</v>
      </c>
      <c r="J770" s="168"/>
      <c r="K770" s="169"/>
      <c r="L770" s="170"/>
      <c r="M770" s="171"/>
      <c r="O770" s="174"/>
      <c r="P770" s="162"/>
    </row>
    <row r="771" spans="1:22" ht="16.5" customHeight="1" x14ac:dyDescent="0.2">
      <c r="A771" s="38">
        <f>COUNTIF($J$1:J771,"!")</f>
        <v>48</v>
      </c>
      <c r="B771" s="179" t="s">
        <v>47</v>
      </c>
      <c r="C771" s="164"/>
      <c r="D771" s="166"/>
      <c r="E771" s="166"/>
      <c r="F771" s="166"/>
      <c r="G771" s="42"/>
      <c r="H771" s="42">
        <f>IFERROR(J771*K771,"")</f>
        <v>800</v>
      </c>
      <c r="I771" s="167"/>
      <c r="J771" s="168">
        <f>P$1</f>
        <v>1</v>
      </c>
      <c r="K771" s="169">
        <f>L771*M771</f>
        <v>800</v>
      </c>
      <c r="L771" s="170">
        <f>F759</f>
        <v>1</v>
      </c>
      <c r="M771" s="171">
        <f>IF(B771="成套费",IF(ISNUMBER(FIND("GGD",O771)),800,IF(OR(ISNUMBER(FIND("GCS",O771)),ISNUMBER(FIND("GCK",O771)),ISNUMBER(FIND("MNS",O771))),1000,"")),IF(B771="辅件费",IF(VLOOKUP(A772,A$1:B771,2,FALSE)="低压电容柜",500,300),""))</f>
        <v>800</v>
      </c>
      <c r="O771" s="180" t="str">
        <f>C759</f>
        <v>GGD-1200*600*2000</v>
      </c>
    </row>
    <row r="772" spans="1:22" s="161" customFormat="1" ht="16.5" customHeight="1" x14ac:dyDescent="0.2">
      <c r="A772" s="38">
        <f>COUNTIF($J$1:J772,"!")</f>
        <v>48</v>
      </c>
      <c r="B772" s="179" t="s">
        <v>49</v>
      </c>
      <c r="C772" s="164"/>
      <c r="D772" s="166"/>
      <c r="E772" s="166"/>
      <c r="F772" s="166"/>
      <c r="G772" s="42"/>
      <c r="H772" s="42">
        <f>IFERROR(J772*K772,"")</f>
        <v>300</v>
      </c>
      <c r="I772" s="167"/>
      <c r="J772" s="168">
        <f>P$1</f>
        <v>1</v>
      </c>
      <c r="K772" s="169">
        <f>L772*M772</f>
        <v>300</v>
      </c>
      <c r="L772" s="170">
        <f>F759</f>
        <v>1</v>
      </c>
      <c r="M772" s="171">
        <f>IF(B772="成套费",IF(ISNUMBER(FIND("GGD",O772)),800,IF(OR(ISNUMBER(FIND("GCS",O772)),ISNUMBER(FIND("GCK",O772)),ISNUMBER(FIND("MNS",O772))),1000,"")),IF(B772="辅件费",IF(VLOOKUP(A772,A$1:B772,2,FALSE)="低压电容柜",500,300),""))</f>
        <v>300</v>
      </c>
      <c r="N772" s="181"/>
      <c r="O772" s="182" t="str">
        <f>O771</f>
        <v>GGD-1200*600*2000</v>
      </c>
      <c r="R772" s="162"/>
      <c r="S772" s="162"/>
    </row>
    <row r="773" spans="1:22" s="161" customFormat="1" ht="16.5" customHeight="1" x14ac:dyDescent="0.2">
      <c r="A773" s="38">
        <f>COUNTIF($J$1:J773,"!")</f>
        <v>48</v>
      </c>
      <c r="B773" s="179" t="s">
        <v>79</v>
      </c>
      <c r="C773" s="164"/>
      <c r="D773" s="166"/>
      <c r="E773" s="166"/>
      <c r="F773" s="166"/>
      <c r="G773" s="42"/>
      <c r="H773" s="42">
        <f>K773*L773</f>
        <v>915.06024000000002</v>
      </c>
      <c r="I773" s="167"/>
      <c r="J773" s="168"/>
      <c r="K773" s="169">
        <f>SUM(H770:H772)+I770</f>
        <v>7625.5020000000004</v>
      </c>
      <c r="L773" s="279">
        <f>R$1</f>
        <v>0.12</v>
      </c>
      <c r="M773" s="171"/>
      <c r="N773" s="181"/>
      <c r="O773" s="162"/>
      <c r="R773" s="162"/>
      <c r="S773" s="162"/>
    </row>
    <row r="774" spans="1:22" ht="16.5" customHeight="1" x14ac:dyDescent="0.2">
      <c r="A774" s="38">
        <f>COUNTIF($J$1:J774,"!")</f>
        <v>48</v>
      </c>
      <c r="B774" s="179" t="s">
        <v>108</v>
      </c>
      <c r="C774" s="164"/>
      <c r="D774" s="166"/>
      <c r="E774" s="166"/>
      <c r="F774" s="166"/>
      <c r="G774" s="184"/>
      <c r="H774" s="42">
        <f>K774*L774</f>
        <v>256.21686720000002</v>
      </c>
      <c r="I774" s="167"/>
      <c r="J774" s="168"/>
      <c r="K774" s="169">
        <f>H773+K773</f>
        <v>8540.5622400000011</v>
      </c>
      <c r="L774" s="279">
        <f>T$1</f>
        <v>0.03</v>
      </c>
      <c r="M774" s="171"/>
      <c r="O774" s="162"/>
    </row>
    <row r="775" spans="1:22" ht="16.5" customHeight="1" x14ac:dyDescent="0.15">
      <c r="A775" s="32">
        <f>COUNTIF($J$1:J775,"!")</f>
        <v>49</v>
      </c>
      <c r="B775" s="33" t="s">
        <v>159</v>
      </c>
      <c r="C775" s="277" t="str">
        <f>LOOKUP(0,0/((RIGHT(B717:B775,3)="变压器")*(D717:D775=D775)),N717:N775)&amp;"10/0.4"</f>
        <v>500KVA 10/0.4</v>
      </c>
      <c r="D775" s="159" t="s">
        <v>3175</v>
      </c>
      <c r="E775" s="34" t="s">
        <v>23</v>
      </c>
      <c r="F775" s="159">
        <v>1</v>
      </c>
      <c r="G775" s="36">
        <f>ROUND(SUM(H776:H784),0)</f>
        <v>24745</v>
      </c>
      <c r="H775" s="160" t="str">
        <f>IF(ISNUMBER(FIND(" ",C776)),MID(C776,1,FIND(" ",C776)-1),IF(ISNUMBER(FIND("电容柜",B775)),"GGJ",MID(C776,1,FIND("-",C776)-1)))</f>
        <v>YBP</v>
      </c>
      <c r="I775" s="47" t="str">
        <f>MID(C776,IF(LEN(C776)-LEN(H775)&gt;3,LEN(H775)+2,1),30)</f>
        <v>4400*2300*2650</v>
      </c>
      <c r="J775" s="48" t="s">
        <v>24</v>
      </c>
      <c r="K775" s="49"/>
      <c r="L775" s="50"/>
      <c r="M775" s="51"/>
      <c r="O775" s="297"/>
      <c r="P775" s="161">
        <v>1650</v>
      </c>
      <c r="Q775" s="162">
        <v>2900</v>
      </c>
      <c r="R775" s="157">
        <v>1900</v>
      </c>
      <c r="S775" s="162">
        <v>1850</v>
      </c>
      <c r="T775" s="157">
        <v>3000</v>
      </c>
      <c r="U775" s="157">
        <v>2400</v>
      </c>
      <c r="V775" s="157">
        <v>3600</v>
      </c>
    </row>
    <row r="776" spans="1:22" ht="16.5" customHeight="1" x14ac:dyDescent="0.2">
      <c r="A776" s="38">
        <f>COUNTIF($J$1:J776,"!")</f>
        <v>49</v>
      </c>
      <c r="B776" s="163" t="s">
        <v>25</v>
      </c>
      <c r="C776" s="164" t="s">
        <v>3152</v>
      </c>
      <c r="D776" s="165" t="s">
        <v>3242</v>
      </c>
      <c r="E776" s="166" t="s">
        <v>29</v>
      </c>
      <c r="F776" s="166">
        <v>1</v>
      </c>
      <c r="G776" s="42">
        <f>IFERROR(J776*K776,"")</f>
        <v>15863.099999999999</v>
      </c>
      <c r="H776" s="42">
        <f>IFERROR(G776*F776,"")</f>
        <v>15863.099999999999</v>
      </c>
      <c r="I776" s="167"/>
      <c r="J776" s="168">
        <f>P$1</f>
        <v>1</v>
      </c>
      <c r="K776" s="169">
        <f>IFERROR(M776*L776,"")</f>
        <v>15863.099999999999</v>
      </c>
      <c r="L776" s="170">
        <v>0.95</v>
      </c>
      <c r="M776" s="171">
        <f>IFERROR(Q776*R776,"")</f>
        <v>16698</v>
      </c>
      <c r="N776" s="172" t="str">
        <f ca="1">IF(AND(ISNUMBER(FIND("IF",_xlfn.FORMULATEXT(L776))),ISNUMBER(FIND("IF",_xlfn.FORMULATEXT(M776)))),"","值")</f>
        <v>值</v>
      </c>
      <c r="O776" s="174" t="str">
        <f>O780</f>
        <v>YBP-4400*2300*2650</v>
      </c>
      <c r="P776" s="157" t="s">
        <v>2209</v>
      </c>
      <c r="Q776" s="300">
        <f>IF(P776=304,V775,IF(P776=201,T775,IF(P776="彩钢板",P775,IF(P776="敷铝锌贴木条",Q775,IF(P776="金属雕花",U775,IF(P776="GRC",R775,IF(P776="水泥变",S775,)))))))</f>
        <v>1650</v>
      </c>
      <c r="R776" s="161">
        <f>(MID(C776,FIND("-",C776)+1,FIND("*",C776)-FIND("-",C776)-1)*MID(C776,FIND("*",C776)+1,FIND("*",MID(C776,FIND("*",C776)+1,30))-1))/1000000*IF(ROUND(RIGHT(C776,4),0)&gt;2650,1/2.65*2.95,1)</f>
        <v>10.119999999999999</v>
      </c>
    </row>
    <row r="777" spans="1:22" s="175" customFormat="1" ht="16.5" customHeight="1" x14ac:dyDescent="0.2">
      <c r="A777" s="38">
        <f>COUNTIF($J$1:J777,"!")</f>
        <v>49</v>
      </c>
      <c r="B777" s="163" t="str">
        <f>IFERROR(VLOOKUP(C777,元件库!$B:$O,3,FALSE),"")</f>
        <v>铜排</v>
      </c>
      <c r="C777" s="164" t="s">
        <v>1889</v>
      </c>
      <c r="D777" s="165" t="str">
        <f>IFERROR(VLOOKUP(C777,元件库!$B:$O,2,FALSE),"")</f>
        <v>欣利铜材</v>
      </c>
      <c r="E777" s="166" t="str">
        <f>IF(D777="欣利铜材","米",IF(B777="氧化锌避雷器","组","只"))</f>
        <v>米</v>
      </c>
      <c r="F777" s="166">
        <v>8</v>
      </c>
      <c r="G777" s="42">
        <f>IFERROR(J777*K777,"")</f>
        <v>182.62799999999999</v>
      </c>
      <c r="H777" s="42">
        <f>IFERROR(G777*F777,"")</f>
        <v>1461.0239999999999</v>
      </c>
      <c r="I777" s="167"/>
      <c r="J777" s="168">
        <f>P$1</f>
        <v>1</v>
      </c>
      <c r="K777" s="169">
        <f>IFERROR(M777*L777,"")</f>
        <v>182.62799999999999</v>
      </c>
      <c r="L777" s="170">
        <f>IFERROR(VLOOKUP(C777,元件库!$B:$O,10,FALSE),"1.00")</f>
        <v>1</v>
      </c>
      <c r="M777" s="171">
        <f>IFERROR(VLOOKUP(C777,元件库!$B:$O,11,FALSE),"")</f>
        <v>182.62799999999999</v>
      </c>
      <c r="N777" s="172" t="str">
        <f ca="1">IF(AND(ISNUMBER(FIND("IF",_xlfn.FORMULATEXT(L777))),ISNUMBER(FIND("IF",_xlfn.FORMULATEXT(M777)))),"","值")</f>
        <v/>
      </c>
      <c r="O777" s="174" t="str">
        <f>O780</f>
        <v>YBP-4400*2300*2650</v>
      </c>
    </row>
    <row r="778" spans="1:22" s="173" customFormat="1" ht="16.5" customHeight="1" x14ac:dyDescent="0.2">
      <c r="A778" s="38">
        <f>COUNTIF($J$1:J778,"!")</f>
        <v>49</v>
      </c>
      <c r="B778" s="163" t="str">
        <f>IFERROR(VLOOKUP(C778,元件库!$B:$O,3,FALSE),"")</f>
        <v>铜排</v>
      </c>
      <c r="C778" s="164" t="s">
        <v>1889</v>
      </c>
      <c r="D778" s="165" t="str">
        <f>IFERROR(VLOOKUP(C778,元件库!$B:$O,2,FALSE),"")</f>
        <v>欣利铜材</v>
      </c>
      <c r="E778" s="166" t="s">
        <v>39</v>
      </c>
      <c r="F778" s="166">
        <v>10</v>
      </c>
      <c r="G778" s="42">
        <f>IFERROR(J778*K778,"")</f>
        <v>182.62799999999999</v>
      </c>
      <c r="H778" s="42">
        <f>IFERROR(G778*F778,"")</f>
        <v>1826.2799999999997</v>
      </c>
      <c r="I778" s="167"/>
      <c r="J778" s="168">
        <f>P$1</f>
        <v>1</v>
      </c>
      <c r="K778" s="169">
        <f>IFERROR(M778*L778,"")</f>
        <v>182.62799999999999</v>
      </c>
      <c r="L778" s="170">
        <f>IFERROR(VLOOKUP(C778,元件库!$B:$O,10,FALSE),"1.00")</f>
        <v>1</v>
      </c>
      <c r="M778" s="171">
        <f>IFERROR(VLOOKUP(C778,元件库!$B:$O,11,FALSE),"")</f>
        <v>182.62799999999999</v>
      </c>
      <c r="N778" s="172" t="str">
        <f ca="1">IF(AND(ISNUMBER(FIND("IF",_xlfn.FORMULATEXT(L778))),ISNUMBER(FIND("IF",_xlfn.FORMULATEXT(M778)))),"","值")</f>
        <v/>
      </c>
      <c r="O778" s="174" t="str">
        <f>O780</f>
        <v>YBP-4400*2300*2650</v>
      </c>
      <c r="P778" s="161"/>
    </row>
    <row r="779" spans="1:22" ht="16.5" customHeight="1" x14ac:dyDescent="0.2">
      <c r="A779" s="38">
        <f>COUNTIF($J$1:J779,"!")</f>
        <v>49</v>
      </c>
      <c r="B779" s="177" t="s">
        <v>107</v>
      </c>
      <c r="C779" s="164"/>
      <c r="D779" s="166"/>
      <c r="E779" s="166"/>
      <c r="F779" s="166"/>
      <c r="G779" s="42"/>
      <c r="H779" s="42"/>
      <c r="I779" s="178">
        <f>SUM(H776:H779)</f>
        <v>19150.403999999999</v>
      </c>
      <c r="J779" s="168"/>
      <c r="K779" s="169"/>
      <c r="L779" s="170"/>
      <c r="M779" s="171"/>
      <c r="O779" s="174"/>
      <c r="P779" s="162"/>
      <c r="Q779" s="157"/>
    </row>
    <row r="780" spans="1:22" ht="16.5" customHeight="1" x14ac:dyDescent="0.2">
      <c r="A780" s="38">
        <f>COUNTIF($J$1:J780,"!")</f>
        <v>49</v>
      </c>
      <c r="B780" s="179" t="s">
        <v>47</v>
      </c>
      <c r="C780" s="164"/>
      <c r="D780" s="166"/>
      <c r="E780" s="166"/>
      <c r="F780" s="166"/>
      <c r="G780" s="42"/>
      <c r="H780" s="42">
        <f>IFERROR(J780*K780*L780,"")</f>
        <v>1500</v>
      </c>
      <c r="I780" s="167"/>
      <c r="J780" s="168">
        <f>P$1</f>
        <v>1</v>
      </c>
      <c r="K780" s="169">
        <f>IFERROR(M780*L780,"")</f>
        <v>1500</v>
      </c>
      <c r="L780" s="170" t="str">
        <f>IFERROR(VLOOKUP(C780,元件库!$B:$O,10,FALSE),"1.00")</f>
        <v>1.00</v>
      </c>
      <c r="M780" s="171">
        <v>1500</v>
      </c>
      <c r="O780" s="174" t="str">
        <f>LOOKUP(0,0/((A775:A779=A780)*(B775:B779="壳体W*D*H")),C775:C779)</f>
        <v>YBP-4400*2300*2650</v>
      </c>
    </row>
    <row r="781" spans="1:22" s="161" customFormat="1" ht="16.5" customHeight="1" x14ac:dyDescent="0.2">
      <c r="A781" s="38">
        <f>COUNTIF($J$1:J781,"!")</f>
        <v>49</v>
      </c>
      <c r="B781" s="179" t="s">
        <v>49</v>
      </c>
      <c r="C781" s="164"/>
      <c r="D781" s="166"/>
      <c r="E781" s="166"/>
      <c r="F781" s="166"/>
      <c r="G781" s="42"/>
      <c r="H781" s="42">
        <f>IFERROR(J781*K781*L781,"")</f>
        <v>500</v>
      </c>
      <c r="I781" s="167"/>
      <c r="J781" s="168">
        <f>P$1</f>
        <v>1</v>
      </c>
      <c r="K781" s="169">
        <f>IFERROR(M781*L781,"")</f>
        <v>500</v>
      </c>
      <c r="L781" s="170" t="str">
        <f>IFERROR(VLOOKUP(C781,元件库!$B:$O,10,FALSE),"1.00")</f>
        <v>1.00</v>
      </c>
      <c r="M781" s="171">
        <v>500</v>
      </c>
      <c r="N781" s="181"/>
      <c r="O781" s="174" t="str">
        <f>O780</f>
        <v>YBP-4400*2300*2650</v>
      </c>
      <c r="Q781" s="162"/>
      <c r="R781" s="162"/>
      <c r="S781" s="162"/>
    </row>
    <row r="782" spans="1:22" s="161" customFormat="1" ht="16.5" customHeight="1" x14ac:dyDescent="0.2">
      <c r="A782" s="38">
        <f>COUNTIF($J$1:J782,"!")</f>
        <v>49</v>
      </c>
      <c r="B782" s="179" t="s">
        <v>50</v>
      </c>
      <c r="C782" s="164"/>
      <c r="D782" s="166"/>
      <c r="E782" s="166"/>
      <c r="F782" s="166"/>
      <c r="G782" s="42"/>
      <c r="H782" s="42">
        <f>IFERROR(J782*K782*L782,"")</f>
        <v>300</v>
      </c>
      <c r="I782" s="167"/>
      <c r="J782" s="168">
        <f>P$1</f>
        <v>1</v>
      </c>
      <c r="K782" s="169">
        <f>IFERROR(M782*L782,"")</f>
        <v>300</v>
      </c>
      <c r="L782" s="170" t="str">
        <f>IFERROR(VLOOKUP(C782,元件库!$B:$O,10,FALSE),"1.00")</f>
        <v>1.00</v>
      </c>
      <c r="M782" s="171">
        <v>300</v>
      </c>
      <c r="N782" s="181"/>
      <c r="O782" s="174"/>
      <c r="Q782" s="162"/>
      <c r="R782" s="162"/>
      <c r="S782" s="162"/>
    </row>
    <row r="783" spans="1:22" s="161" customFormat="1" ht="16.5" customHeight="1" x14ac:dyDescent="0.2">
      <c r="A783" s="38">
        <f>COUNTIF($J$1:J783,"!")</f>
        <v>49</v>
      </c>
      <c r="B783" s="179" t="s">
        <v>79</v>
      </c>
      <c r="C783" s="164"/>
      <c r="D783" s="166"/>
      <c r="E783" s="166"/>
      <c r="F783" s="166"/>
      <c r="G783" s="42"/>
      <c r="H783" s="42">
        <f>K783*L783</f>
        <v>2574.0484799999999</v>
      </c>
      <c r="I783" s="167"/>
      <c r="J783" s="168"/>
      <c r="K783" s="169">
        <f>SUM(H780:H782)+I779</f>
        <v>21450.403999999999</v>
      </c>
      <c r="L783" s="279">
        <f>R$1</f>
        <v>0.12</v>
      </c>
      <c r="M783" s="171"/>
      <c r="N783" s="181"/>
      <c r="O783" s="174"/>
      <c r="Q783" s="162"/>
      <c r="R783" s="162"/>
      <c r="S783" s="162"/>
    </row>
    <row r="784" spans="1:22" ht="16.5" customHeight="1" x14ac:dyDescent="0.2">
      <c r="A784" s="38">
        <f>COUNTIF($J$1:J784,"!")</f>
        <v>49</v>
      </c>
      <c r="B784" s="179" t="s">
        <v>108</v>
      </c>
      <c r="C784" s="164"/>
      <c r="D784" s="166"/>
      <c r="E784" s="166"/>
      <c r="F784" s="166"/>
      <c r="G784" s="184"/>
      <c r="H784" s="42">
        <f>K784*L784</f>
        <v>720.73357439999995</v>
      </c>
      <c r="I784" s="167"/>
      <c r="J784" s="168"/>
      <c r="K784" s="169">
        <f>H783+K783</f>
        <v>24024.45248</v>
      </c>
      <c r="L784" s="279">
        <f>T$1</f>
        <v>0.03</v>
      </c>
      <c r="M784" s="171"/>
    </row>
    <row r="785" spans="1:23" s="162" customFormat="1" ht="16.5" customHeight="1" x14ac:dyDescent="0.15">
      <c r="A785" s="32">
        <f>COUNTIF($J$1:J785,"!")</f>
        <v>50</v>
      </c>
      <c r="B785" s="33" t="s">
        <v>1895</v>
      </c>
      <c r="C785" s="296" t="s">
        <v>3180</v>
      </c>
      <c r="D785" s="159" t="s">
        <v>3181</v>
      </c>
      <c r="E785" s="34" t="s">
        <v>23</v>
      </c>
      <c r="F785" s="159">
        <v>1</v>
      </c>
      <c r="G785" s="36">
        <f>ROUND(SUM(H786:H807),0)</f>
        <v>7552</v>
      </c>
      <c r="H785" s="160" t="str">
        <f>IF(ISNUMBER(FIND(" ",C786)),MID(C786,1,FIND(" ",C786)-1),IF(ISNUMBER(FIND("电容柜",B785)),"GGJ",MID(C786,1,FIND("-",C786)-1)))</f>
        <v>HXGN</v>
      </c>
      <c r="I785" s="47" t="str">
        <f>MID(C786,IF(LEN(C786)-LEN(H785)&gt;3,LEN(H785)+2,1),30)</f>
        <v>500*900*2000</v>
      </c>
      <c r="J785" s="48" t="s">
        <v>24</v>
      </c>
      <c r="K785" s="49"/>
      <c r="L785" s="50"/>
      <c r="M785" s="51"/>
      <c r="N785" s="172"/>
      <c r="O785" s="161"/>
    </row>
    <row r="786" spans="1:23" s="162" customFormat="1" ht="16.5" customHeight="1" x14ac:dyDescent="0.2">
      <c r="A786" s="38">
        <f>COUNTIF($J$1:J786,"!")</f>
        <v>50</v>
      </c>
      <c r="B786" s="163" t="str">
        <f>IFERROR(VLOOKUP(C786,元件库!$B:$O,3,FALSE),"")</f>
        <v>壳体W*D*H</v>
      </c>
      <c r="C786" s="164" t="s">
        <v>3120</v>
      </c>
      <c r="D786" s="165" t="str">
        <f>IFERROR(VLOOKUP(C786,元件库!$B:$O,2,FALSE),"")</f>
        <v>精益联合集团</v>
      </c>
      <c r="E786" s="166" t="str">
        <f t="shared" ref="E786:E793" si="286">IF(D786="欣利铜材","米",IF(B786="氧化锌避雷器","组","只"))</f>
        <v>只</v>
      </c>
      <c r="F786" s="166">
        <v>1</v>
      </c>
      <c r="G786" s="42">
        <f t="shared" ref="G786:G793" si="287">IFERROR(J786*K786,"")</f>
        <v>1500</v>
      </c>
      <c r="H786" s="42">
        <f t="shared" ref="H786:H793" si="288">IFERROR(G786*F786,"")</f>
        <v>1500</v>
      </c>
      <c r="I786" s="167"/>
      <c r="J786" s="168">
        <f t="shared" ref="J786:J793" si="289">P$1</f>
        <v>1</v>
      </c>
      <c r="K786" s="169">
        <f t="shared" ref="K786:K793" si="290">IFERROR(M786*L786,"")</f>
        <v>1500</v>
      </c>
      <c r="L786" s="170">
        <f>IFERROR(VLOOKUP(C786,元件库!$B:$O,10,FALSE),"1.00")</f>
        <v>1</v>
      </c>
      <c r="M786" s="171">
        <f>IFERROR(VLOOKUP(C786,元件库!$B:$O,11,FALSE),"")</f>
        <v>1500</v>
      </c>
      <c r="N786" s="172" t="str">
        <f t="shared" ref="N786:N802" ca="1" si="291">IF(AND(ISNUMBER(FIND("IF",_xlfn.FORMULATEXT(L786))),ISNUMBER(FIND("IF",_xlfn.FORMULATEXT(M786)))),"","值")</f>
        <v/>
      </c>
      <c r="O786" s="157"/>
      <c r="P786" s="157"/>
    </row>
    <row r="787" spans="1:23" s="175" customFormat="1" ht="16.5" customHeight="1" x14ac:dyDescent="0.2">
      <c r="A787" s="38">
        <f>COUNTIF($J$1:J787,"!")</f>
        <v>50</v>
      </c>
      <c r="B787" s="163" t="str">
        <f>IFERROR(VLOOKUP(C787,元件库!$B:$O,3,FALSE),"")</f>
        <v>高压熔断器</v>
      </c>
      <c r="C787" s="164" t="s">
        <v>3041</v>
      </c>
      <c r="D787" s="165" t="str">
        <f>IFERROR(VLOOKUP(C787,元件库!$B:$O,2,FALSE),"")</f>
        <v>上海智广</v>
      </c>
      <c r="E787" s="166" t="str">
        <f t="shared" si="286"/>
        <v>只</v>
      </c>
      <c r="F787" s="166">
        <v>3</v>
      </c>
      <c r="G787" s="42">
        <f t="shared" si="287"/>
        <v>60</v>
      </c>
      <c r="H787" s="42">
        <f t="shared" si="288"/>
        <v>180</v>
      </c>
      <c r="I787" s="167"/>
      <c r="J787" s="168">
        <f t="shared" si="289"/>
        <v>1</v>
      </c>
      <c r="K787" s="169">
        <f t="shared" si="290"/>
        <v>60</v>
      </c>
      <c r="L787" s="170">
        <f>IFERROR(VLOOKUP(C787,元件库!$B:$O,10,FALSE),"1.00")</f>
        <v>1</v>
      </c>
      <c r="M787" s="171">
        <f>IFERROR(VLOOKUP(C787,元件库!$B:$O,11,FALSE),"")</f>
        <v>60</v>
      </c>
      <c r="N787" s="172" t="str">
        <f t="shared" ca="1" si="291"/>
        <v/>
      </c>
      <c r="O787" s="157"/>
      <c r="W787" s="162"/>
    </row>
    <row r="788" spans="1:23" s="175" customFormat="1" ht="16.5" customHeight="1" x14ac:dyDescent="0.2">
      <c r="A788" s="38">
        <f>COUNTIF($J$1:J788,"!")</f>
        <v>50</v>
      </c>
      <c r="B788" s="163" t="str">
        <f>IFERROR(VLOOKUP(C788,元件库!$B:$O,3,FALSE),"")</f>
        <v>电压互感器</v>
      </c>
      <c r="C788" s="164" t="s">
        <v>2135</v>
      </c>
      <c r="D788" s="165" t="str">
        <f>IFERROR(VLOOKUP(C788,元件库!$B:$O,2,FALSE),"")</f>
        <v>浙江泰成</v>
      </c>
      <c r="E788" s="166" t="str">
        <f t="shared" si="286"/>
        <v>只</v>
      </c>
      <c r="F788" s="166">
        <v>2</v>
      </c>
      <c r="G788" s="42">
        <f t="shared" si="287"/>
        <v>963</v>
      </c>
      <c r="H788" s="42">
        <f t="shared" si="288"/>
        <v>1926</v>
      </c>
      <c r="I788" s="167"/>
      <c r="J788" s="168">
        <f t="shared" si="289"/>
        <v>1</v>
      </c>
      <c r="K788" s="169">
        <f t="shared" si="290"/>
        <v>963</v>
      </c>
      <c r="L788" s="170">
        <f>IFERROR(VLOOKUP(C788,元件库!$B:$O,10,FALSE),"1.00")</f>
        <v>1</v>
      </c>
      <c r="M788" s="171">
        <f>IFERROR(VLOOKUP(C788,元件库!$B:$O,11,FALSE),"")</f>
        <v>963</v>
      </c>
      <c r="N788" s="172" t="str">
        <f t="shared" ca="1" si="291"/>
        <v/>
      </c>
      <c r="O788" s="157"/>
      <c r="W788" s="162"/>
    </row>
    <row r="789" spans="1:23" s="175" customFormat="1" ht="16.5" customHeight="1" x14ac:dyDescent="0.2">
      <c r="A789" s="38">
        <f>COUNTIF($J$1:J789,"!")</f>
        <v>50</v>
      </c>
      <c r="B789" s="163" t="str">
        <f>IFERROR(VLOOKUP(C789,元件库!$B:$O,3,FALSE),"")</f>
        <v>电流.电压表</v>
      </c>
      <c r="C789" s="164" t="s">
        <v>1899</v>
      </c>
      <c r="D789" s="165" t="str">
        <f>IFERROR(VLOOKUP(C789,元件库!$B:$O,2,FALSE),"")</f>
        <v>精益联合集团</v>
      </c>
      <c r="E789" s="166" t="str">
        <f t="shared" si="286"/>
        <v>只</v>
      </c>
      <c r="F789" s="166">
        <v>3</v>
      </c>
      <c r="G789" s="42">
        <f t="shared" si="287"/>
        <v>13.750000000000002</v>
      </c>
      <c r="H789" s="42">
        <f t="shared" si="288"/>
        <v>41.250000000000007</v>
      </c>
      <c r="I789" s="167"/>
      <c r="J789" s="168">
        <f t="shared" si="289"/>
        <v>1</v>
      </c>
      <c r="K789" s="169">
        <f t="shared" si="290"/>
        <v>13.750000000000002</v>
      </c>
      <c r="L789" s="170">
        <f>IFERROR(VLOOKUP(C789,元件库!$B:$O,10,FALSE),"1.00")</f>
        <v>0.55000000000000004</v>
      </c>
      <c r="M789" s="171">
        <f>IFERROR(VLOOKUP(C789,元件库!$B:$O,11,FALSE),"")</f>
        <v>25</v>
      </c>
      <c r="N789" s="172" t="str">
        <f t="shared" ca="1" si="291"/>
        <v/>
      </c>
      <c r="O789" s="157"/>
      <c r="W789" s="162"/>
    </row>
    <row r="790" spans="1:23" s="175" customFormat="1" ht="16.5" customHeight="1" x14ac:dyDescent="0.2">
      <c r="A790" s="38">
        <f>COUNTIF($J$1:J790,"!")</f>
        <v>50</v>
      </c>
      <c r="B790" s="163" t="str">
        <f>IFERROR(VLOOKUP(C790,元件库!$B:$O,3,FALSE),"")</f>
        <v>氧化锌避雷器</v>
      </c>
      <c r="C790" s="164" t="s">
        <v>1917</v>
      </c>
      <c r="D790" s="165" t="str">
        <f>IFERROR(VLOOKUP(C790,元件库!$B:$O,2,FALSE),"")</f>
        <v>雷恩电气</v>
      </c>
      <c r="E790" s="166" t="str">
        <f t="shared" si="286"/>
        <v>组</v>
      </c>
      <c r="F790" s="166">
        <v>1</v>
      </c>
      <c r="G790" s="42">
        <f t="shared" si="287"/>
        <v>200</v>
      </c>
      <c r="H790" s="42">
        <f t="shared" si="288"/>
        <v>200</v>
      </c>
      <c r="I790" s="167"/>
      <c r="J790" s="168">
        <f t="shared" si="289"/>
        <v>1</v>
      </c>
      <c r="K790" s="169">
        <f t="shared" si="290"/>
        <v>200</v>
      </c>
      <c r="L790" s="170">
        <f>IFERROR(VLOOKUP(C790,元件库!$B:$O,10,FALSE),"1.00")</f>
        <v>1</v>
      </c>
      <c r="M790" s="171">
        <f>IFERROR(VLOOKUP(C790,元件库!$B:$O,11,FALSE),"")</f>
        <v>200</v>
      </c>
      <c r="N790" s="172" t="str">
        <f t="shared" ca="1" si="291"/>
        <v/>
      </c>
      <c r="O790" s="157"/>
      <c r="W790" s="162"/>
    </row>
    <row r="791" spans="1:23" s="175" customFormat="1" ht="16.5" customHeight="1" x14ac:dyDescent="0.2">
      <c r="A791" s="38">
        <f>COUNTIF($J$1:J791,"!")</f>
        <v>50</v>
      </c>
      <c r="B791" s="163" t="str">
        <f>IFERROR(VLOOKUP(C791,元件库!$B:$O,3,FALSE),"")</f>
        <v>穿墙套管</v>
      </c>
      <c r="C791" s="164" t="s">
        <v>135</v>
      </c>
      <c r="D791" s="165" t="str">
        <f>IFERROR(VLOOKUP(C791,元件库!$B:$O,2,FALSE),"")</f>
        <v>福一开</v>
      </c>
      <c r="E791" s="166" t="str">
        <f t="shared" si="286"/>
        <v>只</v>
      </c>
      <c r="F791" s="166">
        <v>3</v>
      </c>
      <c r="G791" s="42">
        <f t="shared" si="287"/>
        <v>45</v>
      </c>
      <c r="H791" s="42">
        <f t="shared" si="288"/>
        <v>135</v>
      </c>
      <c r="I791" s="167"/>
      <c r="J791" s="168">
        <f t="shared" si="289"/>
        <v>1</v>
      </c>
      <c r="K791" s="169">
        <f t="shared" si="290"/>
        <v>45</v>
      </c>
      <c r="L791" s="170">
        <f>IFERROR(VLOOKUP(C791,元件库!$B:$O,10,FALSE),"1.00")</f>
        <v>1</v>
      </c>
      <c r="M791" s="171">
        <f>IFERROR(VLOOKUP(C791,元件库!$B:$O,11,FALSE),"")</f>
        <v>45</v>
      </c>
      <c r="N791" s="172" t="str">
        <f t="shared" ca="1" si="291"/>
        <v/>
      </c>
      <c r="O791" s="157"/>
      <c r="W791" s="162"/>
    </row>
    <row r="792" spans="1:23" s="175" customFormat="1" ht="16.5" customHeight="1" x14ac:dyDescent="0.2">
      <c r="A792" s="38">
        <f>COUNTIF($J$1:J792,"!")</f>
        <v>50</v>
      </c>
      <c r="B792" s="163" t="str">
        <f>IFERROR(VLOOKUP(C792,元件库!$B:$O,3,FALSE),"")</f>
        <v>支柱绝缘子</v>
      </c>
      <c r="C792" s="164" t="s">
        <v>136</v>
      </c>
      <c r="D792" s="165" t="str">
        <f>IFERROR(VLOOKUP(C792,元件库!$B:$O,2,FALSE),"")</f>
        <v>福一开</v>
      </c>
      <c r="E792" s="166" t="str">
        <f t="shared" si="286"/>
        <v>只</v>
      </c>
      <c r="F792" s="166">
        <v>3</v>
      </c>
      <c r="G792" s="42">
        <f t="shared" si="287"/>
        <v>22</v>
      </c>
      <c r="H792" s="42">
        <f t="shared" si="288"/>
        <v>66</v>
      </c>
      <c r="I792" s="167"/>
      <c r="J792" s="168">
        <f t="shared" si="289"/>
        <v>1</v>
      </c>
      <c r="K792" s="169">
        <f t="shared" si="290"/>
        <v>22</v>
      </c>
      <c r="L792" s="170">
        <f>IFERROR(VLOOKUP(C792,元件库!$B:$O,10,FALSE),"1.00")</f>
        <v>1</v>
      </c>
      <c r="M792" s="171">
        <f>IFERROR(VLOOKUP(C792,元件库!$B:$O,11,FALSE),"")</f>
        <v>22</v>
      </c>
      <c r="N792" s="172" t="str">
        <f t="shared" ca="1" si="291"/>
        <v/>
      </c>
      <c r="O792" s="157"/>
      <c r="W792" s="162"/>
    </row>
    <row r="793" spans="1:23" s="175" customFormat="1" ht="16.5" customHeight="1" x14ac:dyDescent="0.2">
      <c r="A793" s="38">
        <f>COUNTIF($J$1:J793,"!")</f>
        <v>50</v>
      </c>
      <c r="B793" s="163" t="str">
        <f>IFERROR(VLOOKUP(C793,元件库!$B:$O,3,FALSE),"")</f>
        <v>电压传感器</v>
      </c>
      <c r="C793" s="164" t="s">
        <v>137</v>
      </c>
      <c r="D793" s="165" t="str">
        <f>IFERROR(VLOOKUP(C793,元件库!$B:$O,2,FALSE),"")</f>
        <v>福一开</v>
      </c>
      <c r="E793" s="166" t="str">
        <f t="shared" si="286"/>
        <v>只</v>
      </c>
      <c r="F793" s="166">
        <v>1</v>
      </c>
      <c r="G793" s="42">
        <f t="shared" si="287"/>
        <v>93</v>
      </c>
      <c r="H793" s="42">
        <f t="shared" si="288"/>
        <v>93</v>
      </c>
      <c r="I793" s="167"/>
      <c r="J793" s="168">
        <f t="shared" si="289"/>
        <v>1</v>
      </c>
      <c r="K793" s="169">
        <f t="shared" si="290"/>
        <v>93</v>
      </c>
      <c r="L793" s="170">
        <f>IFERROR(VLOOKUP(C793,元件库!$B:$O,10,FALSE),"1.00")</f>
        <v>1</v>
      </c>
      <c r="M793" s="171">
        <f>IFERROR(VLOOKUP(C793,元件库!$B:$O,11,FALSE),"")</f>
        <v>93</v>
      </c>
      <c r="N793" s="172" t="str">
        <f t="shared" ca="1" si="291"/>
        <v/>
      </c>
      <c r="O793" s="157"/>
      <c r="W793" s="162"/>
    </row>
    <row r="794" spans="1:23" s="175" customFormat="1" ht="16.5" customHeight="1" x14ac:dyDescent="0.2">
      <c r="A794" s="38">
        <f>COUNTIF($J$1:J794,"!")</f>
        <v>50</v>
      </c>
      <c r="B794" s="163" t="str">
        <f>IFERROR(VLOOKUP(C794,元件库!$B:$O,3,FALSE),"")</f>
        <v>带电显示器</v>
      </c>
      <c r="C794" s="164" t="s">
        <v>1897</v>
      </c>
      <c r="D794" s="165" t="str">
        <f>IFERROR(VLOOKUP(C794,元件库!$B:$O,2,FALSE),"")</f>
        <v>江山鑫源</v>
      </c>
      <c r="E794" s="166" t="str">
        <f>IF(D794="欣利铜材","米",IF(B794="氧化锌避雷器","组","只"))</f>
        <v>只</v>
      </c>
      <c r="F794" s="166">
        <v>1</v>
      </c>
      <c r="G794" s="42">
        <f>IFERROR(J794*K794,"")</f>
        <v>33</v>
      </c>
      <c r="H794" s="42">
        <f>IFERROR(G794*F794,"")</f>
        <v>33</v>
      </c>
      <c r="I794" s="167"/>
      <c r="J794" s="168">
        <f>P$1</f>
        <v>1</v>
      </c>
      <c r="K794" s="169">
        <f>IFERROR(M794*L794,"")</f>
        <v>33</v>
      </c>
      <c r="L794" s="170">
        <f>IFERROR(VLOOKUP(C794,元件库!$B:$O,10,FALSE),"1.00")</f>
        <v>1</v>
      </c>
      <c r="M794" s="171">
        <f>IFERROR(VLOOKUP(C794,元件库!$B:$O,11,FALSE),"")</f>
        <v>33</v>
      </c>
      <c r="N794" s="172" t="str">
        <f t="shared" ca="1" si="291"/>
        <v/>
      </c>
      <c r="O794" s="157"/>
      <c r="W794" s="162"/>
    </row>
    <row r="795" spans="1:23" s="175" customFormat="1" ht="16.5" customHeight="1" x14ac:dyDescent="0.2">
      <c r="A795" s="38">
        <f>COUNTIF($J$1:J795,"!")</f>
        <v>50</v>
      </c>
      <c r="B795" s="163" t="str">
        <f>IFERROR(VLOOKUP(C795,元件库!$B:$O,3,FALSE),"")</f>
        <v>电磁锁</v>
      </c>
      <c r="C795" s="164" t="s">
        <v>98</v>
      </c>
      <c r="D795" s="165" t="str">
        <f>IFERROR(VLOOKUP(C795,元件库!$B:$O,2,FALSE),"")</f>
        <v>哈陆拉</v>
      </c>
      <c r="E795" s="166" t="str">
        <f>IF(D795="欣利铜材","米",IF(B795="氧化锌避雷器","组","只"))</f>
        <v>只</v>
      </c>
      <c r="F795" s="166">
        <v>1</v>
      </c>
      <c r="G795" s="42">
        <f>IFERROR(J795*K795,"")</f>
        <v>55</v>
      </c>
      <c r="H795" s="42">
        <f>IFERROR(G795*F795,"")</f>
        <v>55</v>
      </c>
      <c r="I795" s="167"/>
      <c r="J795" s="168">
        <f t="shared" ref="J795:J802" si="292">P$1</f>
        <v>1</v>
      </c>
      <c r="K795" s="169">
        <f>IFERROR(M795*L795,"")</f>
        <v>55</v>
      </c>
      <c r="L795" s="170">
        <f>IFERROR(VLOOKUP(C795,元件库!$B:$O,10,FALSE),"1.00")</f>
        <v>1</v>
      </c>
      <c r="M795" s="171">
        <f>IFERROR(VLOOKUP(C795,元件库!$B:$O,11,FALSE),"")</f>
        <v>55</v>
      </c>
      <c r="N795" s="172" t="str">
        <f t="shared" ca="1" si="291"/>
        <v/>
      </c>
      <c r="O795" s="157"/>
      <c r="W795" s="162"/>
    </row>
    <row r="796" spans="1:23" s="175" customFormat="1" ht="16.5" customHeight="1" x14ac:dyDescent="0.2">
      <c r="A796" s="38">
        <f>COUNTIF($J$1:J796,"!")</f>
        <v>50</v>
      </c>
      <c r="B796" s="163" t="str">
        <f>IFERROR(VLOOKUP(C796,元件库!$B:$O,3,FALSE),"")</f>
        <v>温湿度控制器</v>
      </c>
      <c r="C796" s="164" t="s">
        <v>153</v>
      </c>
      <c r="D796" s="165" t="str">
        <f>IFERROR(VLOOKUP(C796,元件库!$B:$O,2,FALSE),"")</f>
        <v>实德电气</v>
      </c>
      <c r="E796" s="166" t="str">
        <f t="shared" ref="E796:E802" si="293">IF(D796="欣利铜材","米",IF(B796="氧化锌避雷器","组","只"))</f>
        <v>只</v>
      </c>
      <c r="F796" s="166">
        <v>1</v>
      </c>
      <c r="G796" s="42">
        <f t="shared" ref="G796:G802" si="294">IFERROR(J796*K796,"")</f>
        <v>110</v>
      </c>
      <c r="H796" s="42">
        <f t="shared" ref="H796:H802" si="295">IFERROR(G796*F796,"")</f>
        <v>110</v>
      </c>
      <c r="I796" s="167"/>
      <c r="J796" s="168">
        <f t="shared" si="292"/>
        <v>1</v>
      </c>
      <c r="K796" s="169">
        <f t="shared" ref="K796:K802" si="296">IFERROR(M796*L796,"")</f>
        <v>110</v>
      </c>
      <c r="L796" s="170">
        <f>IFERROR(VLOOKUP(C796,元件库!$B:$O,10,FALSE),"1.00")</f>
        <v>1</v>
      </c>
      <c r="M796" s="171">
        <f>IFERROR(VLOOKUP(C796,元件库!$B:$O,11,FALSE),"")</f>
        <v>110</v>
      </c>
      <c r="N796" s="172" t="str">
        <f t="shared" ca="1" si="291"/>
        <v/>
      </c>
      <c r="O796" s="157"/>
    </row>
    <row r="797" spans="1:23" s="175" customFormat="1" ht="16.5" customHeight="1" x14ac:dyDescent="0.2">
      <c r="A797" s="38">
        <f>COUNTIF($J$1:J797,"!")</f>
        <v>50</v>
      </c>
      <c r="B797" s="163" t="str">
        <f>IFERROR(VLOOKUP(C797,元件库!$B:$O,3,FALSE),"")</f>
        <v>加热器</v>
      </c>
      <c r="C797" s="164" t="s">
        <v>101</v>
      </c>
      <c r="D797" s="165" t="str">
        <f>IFERROR(VLOOKUP(C797,元件库!$B:$O,2,FALSE),"")</f>
        <v>实德电气</v>
      </c>
      <c r="E797" s="166" t="str">
        <f t="shared" si="293"/>
        <v>只</v>
      </c>
      <c r="F797" s="166">
        <v>2</v>
      </c>
      <c r="G797" s="42">
        <f t="shared" si="294"/>
        <v>18</v>
      </c>
      <c r="H797" s="42">
        <f t="shared" si="295"/>
        <v>36</v>
      </c>
      <c r="I797" s="167"/>
      <c r="J797" s="168">
        <f t="shared" si="292"/>
        <v>1</v>
      </c>
      <c r="K797" s="169">
        <f t="shared" si="296"/>
        <v>18</v>
      </c>
      <c r="L797" s="170">
        <f>IFERROR(VLOOKUP(C797,元件库!$B:$O,10,FALSE),"1.00")</f>
        <v>1</v>
      </c>
      <c r="M797" s="171">
        <f>IFERROR(VLOOKUP(C797,元件库!$B:$O,11,FALSE),"")</f>
        <v>18</v>
      </c>
      <c r="N797" s="172" t="str">
        <f t="shared" ca="1" si="291"/>
        <v/>
      </c>
      <c r="O797" s="157"/>
    </row>
    <row r="798" spans="1:23" s="175" customFormat="1" ht="16.5" customHeight="1" x14ac:dyDescent="0.2">
      <c r="A798" s="38">
        <f>COUNTIF($J$1:J798,"!")</f>
        <v>50</v>
      </c>
      <c r="B798" s="163" t="str">
        <f>IFERROR(VLOOKUP(C798,元件库!$B:$O,3,FALSE),"")</f>
        <v>高压热缩管</v>
      </c>
      <c r="C798" s="185" t="str">
        <f>"10KV"&amp;MID(C801,4,10)</f>
        <v>10KV-60*6</v>
      </c>
      <c r="D798" s="165" t="str">
        <f>IFERROR(VLOOKUP(C798,元件库!$B:$O,2,FALSE),"")</f>
        <v>精益联合集团</v>
      </c>
      <c r="E798" s="166" t="str">
        <f t="shared" si="293"/>
        <v>只</v>
      </c>
      <c r="F798" s="166">
        <f>ROUND(SUM(F801:F802),0)</f>
        <v>2</v>
      </c>
      <c r="G798" s="42">
        <f t="shared" si="294"/>
        <v>12</v>
      </c>
      <c r="H798" s="42">
        <f t="shared" si="295"/>
        <v>24</v>
      </c>
      <c r="I798" s="167"/>
      <c r="J798" s="168">
        <f t="shared" si="292"/>
        <v>1</v>
      </c>
      <c r="K798" s="169">
        <f t="shared" si="296"/>
        <v>12</v>
      </c>
      <c r="L798" s="170">
        <f>IFERROR(VLOOKUP(C798,元件库!$B:$O,10,FALSE),"1.00")</f>
        <v>1</v>
      </c>
      <c r="M798" s="171">
        <f>IFERROR(VLOOKUP(C798,元件库!$B:$O,11,FALSE),"")</f>
        <v>12</v>
      </c>
      <c r="N798" s="172" t="str">
        <f t="shared" ca="1" si="291"/>
        <v/>
      </c>
      <c r="O798" s="157"/>
    </row>
    <row r="799" spans="1:23" s="175" customFormat="1" ht="16.5" customHeight="1" x14ac:dyDescent="0.2">
      <c r="A799" s="38">
        <f>COUNTIF($J$1:J799,"!")</f>
        <v>50</v>
      </c>
      <c r="B799" s="163" t="str">
        <f>IFERROR(VLOOKUP(C799,元件库!$B:$O,3,FALSE),"")</f>
        <v>铜排</v>
      </c>
      <c r="C799" s="185" t="s">
        <v>1889</v>
      </c>
      <c r="D799" s="165" t="str">
        <f>IFERROR(VLOOKUP(C799,元件库!$B:$O,2,FALSE),"")</f>
        <v>欣利铜材</v>
      </c>
      <c r="E799" s="166" t="str">
        <f t="shared" si="293"/>
        <v>米</v>
      </c>
      <c r="F799" s="166">
        <v>6</v>
      </c>
      <c r="G799" s="42">
        <f t="shared" si="294"/>
        <v>182.62799999999999</v>
      </c>
      <c r="H799" s="42">
        <f t="shared" si="295"/>
        <v>1095.768</v>
      </c>
      <c r="I799" s="167"/>
      <c r="J799" s="168">
        <f t="shared" si="292"/>
        <v>1</v>
      </c>
      <c r="K799" s="169">
        <f t="shared" si="296"/>
        <v>182.62799999999999</v>
      </c>
      <c r="L799" s="170">
        <f>IFERROR(VLOOKUP(C799,元件库!$B:$O,10,FALSE),"1.00")</f>
        <v>1</v>
      </c>
      <c r="M799" s="171">
        <f>IFERROR(VLOOKUP(C799,元件库!$B:$O,11,FALSE),"")</f>
        <v>182.62799999999999</v>
      </c>
      <c r="N799" s="172" t="str">
        <f t="shared" ca="1" si="291"/>
        <v/>
      </c>
      <c r="O799" s="174" t="str">
        <f>O802</f>
        <v>HXGN-500*900*2000</v>
      </c>
    </row>
    <row r="800" spans="1:23" s="175" customFormat="1" ht="16.5" customHeight="1" x14ac:dyDescent="0.2">
      <c r="A800" s="38">
        <f>COUNTIF($J$1:J800,"!")</f>
        <v>50</v>
      </c>
      <c r="B800" s="163" t="str">
        <f>IFERROR(VLOOKUP(C800,元件库!$B:$O,3,FALSE),"")</f>
        <v>铜排</v>
      </c>
      <c r="C800" s="185" t="s">
        <v>1910</v>
      </c>
      <c r="D800" s="165" t="str">
        <f>IFERROR(VLOOKUP(C800,元件库!$B:$O,2,FALSE),"")</f>
        <v>欣利铜材</v>
      </c>
      <c r="E800" s="166" t="str">
        <f t="shared" si="293"/>
        <v>米</v>
      </c>
      <c r="F800" s="166">
        <v>3</v>
      </c>
      <c r="G800" s="42">
        <f t="shared" si="294"/>
        <v>45.656999999999996</v>
      </c>
      <c r="H800" s="42">
        <f t="shared" si="295"/>
        <v>136.971</v>
      </c>
      <c r="I800" s="167"/>
      <c r="J800" s="168">
        <f t="shared" si="292"/>
        <v>1</v>
      </c>
      <c r="K800" s="169">
        <f t="shared" si="296"/>
        <v>45.656999999999996</v>
      </c>
      <c r="L800" s="170">
        <f>IFERROR(VLOOKUP(C800,元件库!$B:$O,10,FALSE),"1.00")</f>
        <v>1</v>
      </c>
      <c r="M800" s="171">
        <f>IFERROR(VLOOKUP(C800,元件库!$B:$O,11,FALSE),"")</f>
        <v>45.656999999999996</v>
      </c>
      <c r="N800" s="172" t="str">
        <f t="shared" ca="1" si="291"/>
        <v/>
      </c>
      <c r="O800" s="174">
        <f>O803</f>
        <v>0</v>
      </c>
    </row>
    <row r="801" spans="1:23" s="175" customFormat="1" ht="16.5" customHeight="1" x14ac:dyDescent="0.2">
      <c r="A801" s="38">
        <f>COUNTIF($J$1:J801,"!")</f>
        <v>50</v>
      </c>
      <c r="B801" s="163" t="s">
        <v>2171</v>
      </c>
      <c r="C801" s="185" t="s">
        <v>1889</v>
      </c>
      <c r="D801" s="165" t="str">
        <f>IFERROR(VLOOKUP(C801,元件库!$B:$O,2,FALSE),"")</f>
        <v>欣利铜材</v>
      </c>
      <c r="E801" s="166" t="str">
        <f t="shared" si="293"/>
        <v>米</v>
      </c>
      <c r="F801" s="166">
        <f>1*MID(O801,FIND("-",O801)+1,FIND("*",O801)-FIND("-",O801)-1)/1000*IF(B801="水平排",3,1)+IF(AND(B801="零母排",VLOOKUP(A801,A$1:B797,2,FALSE)="低压进线柜"),1.5,0)</f>
        <v>1.5</v>
      </c>
      <c r="G801" s="42">
        <f t="shared" si="294"/>
        <v>182.62799999999999</v>
      </c>
      <c r="H801" s="42">
        <f t="shared" si="295"/>
        <v>273.94200000000001</v>
      </c>
      <c r="I801" s="167"/>
      <c r="J801" s="168">
        <f t="shared" si="292"/>
        <v>1</v>
      </c>
      <c r="K801" s="169">
        <f t="shared" si="296"/>
        <v>182.62799999999999</v>
      </c>
      <c r="L801" s="170">
        <f>IFERROR(VLOOKUP(C801,元件库!$B:$O,10,FALSE),"1.00")</f>
        <v>1</v>
      </c>
      <c r="M801" s="171">
        <f>IFERROR(VLOOKUP(C801,元件库!$B:$O,11,FALSE),"")</f>
        <v>182.62799999999999</v>
      </c>
      <c r="N801" s="172" t="str">
        <f t="shared" ca="1" si="291"/>
        <v/>
      </c>
      <c r="O801" s="174" t="str">
        <f>O804</f>
        <v>HXGN-500*900*2000</v>
      </c>
    </row>
    <row r="802" spans="1:23" s="175" customFormat="1" ht="16.5" customHeight="1" x14ac:dyDescent="0.2">
      <c r="A802" s="38">
        <f>COUNTIF($J$1:J802,"!")</f>
        <v>50</v>
      </c>
      <c r="B802" s="163" t="s">
        <v>2172</v>
      </c>
      <c r="C802" s="185" t="s">
        <v>2326</v>
      </c>
      <c r="D802" s="165" t="str">
        <f>IFERROR(VLOOKUP(C802,元件库!$B:$O,2,FALSE),"")</f>
        <v>欣利铜材</v>
      </c>
      <c r="E802" s="166" t="str">
        <f t="shared" si="293"/>
        <v>米</v>
      </c>
      <c r="F802" s="166">
        <f>1*MID(O802,FIND("-",O802)+1,FIND("*",O802)-FIND("-",O802)-1)/1000*IF(B802="水平排",3,1)+IF(AND(B802="零母排",VLOOKUP(A802,A$1:B798,2,FALSE)="低压进线柜"),1.5,0)</f>
        <v>0.5</v>
      </c>
      <c r="G802" s="42">
        <f t="shared" si="294"/>
        <v>81.167999999999992</v>
      </c>
      <c r="H802" s="42">
        <f t="shared" si="295"/>
        <v>40.583999999999996</v>
      </c>
      <c r="I802" s="167"/>
      <c r="J802" s="168">
        <f t="shared" si="292"/>
        <v>1</v>
      </c>
      <c r="K802" s="169">
        <f t="shared" si="296"/>
        <v>81.167999999999992</v>
      </c>
      <c r="L802" s="170">
        <f>IFERROR(VLOOKUP(C802,元件库!$B:$O,10,FALSE),"1.00")</f>
        <v>1</v>
      </c>
      <c r="M802" s="171">
        <f>IFERROR(VLOOKUP(C802,元件库!$B:$O,11,FALSE),"")</f>
        <v>81.167999999999992</v>
      </c>
      <c r="N802" s="172" t="str">
        <f t="shared" ca="1" si="291"/>
        <v/>
      </c>
      <c r="O802" s="174" t="str">
        <f>O805</f>
        <v>HXGN-500*900*2000</v>
      </c>
    </row>
    <row r="803" spans="1:23" s="162" customFormat="1" ht="16.5" customHeight="1" x14ac:dyDescent="0.2">
      <c r="A803" s="38">
        <f>COUNTIF($J$1:J803,"!")</f>
        <v>50</v>
      </c>
      <c r="B803" s="177" t="s">
        <v>107</v>
      </c>
      <c r="C803" s="164"/>
      <c r="D803" s="166"/>
      <c r="E803" s="166"/>
      <c r="F803" s="166"/>
      <c r="G803" s="42"/>
      <c r="H803" s="42"/>
      <c r="I803" s="178">
        <f>SUM(H786:H803)</f>
        <v>5946.5149999999994</v>
      </c>
      <c r="J803" s="168"/>
      <c r="K803" s="169"/>
      <c r="L803" s="170"/>
      <c r="M803" s="171"/>
      <c r="O803" s="161"/>
      <c r="P803" s="157"/>
    </row>
    <row r="804" spans="1:23" ht="16.5" customHeight="1" x14ac:dyDescent="0.2">
      <c r="A804" s="38">
        <f>COUNTIF($J$1:J804,"!")</f>
        <v>50</v>
      </c>
      <c r="B804" s="179" t="s">
        <v>47</v>
      </c>
      <c r="C804" s="164"/>
      <c r="D804" s="166"/>
      <c r="E804" s="166"/>
      <c r="F804" s="166"/>
      <c r="G804" s="42"/>
      <c r="H804" s="42">
        <f>IFERROR(J804*M804*L804,"")</f>
        <v>400</v>
      </c>
      <c r="I804" s="167"/>
      <c r="J804" s="168">
        <f>P$1</f>
        <v>1</v>
      </c>
      <c r="K804" s="169">
        <f t="shared" ref="K804:K805" si="297">IFERROR(M804*L804,"")</f>
        <v>400</v>
      </c>
      <c r="L804" s="170" t="str">
        <f>IFERROR(VLOOKUP(C804,元件库!$B:$O,10,FALSE),"1.00")</f>
        <v>1.00</v>
      </c>
      <c r="M804" s="171">
        <v>400</v>
      </c>
      <c r="O804" s="180" t="str">
        <f>C786</f>
        <v>HXGN-500*900*2000</v>
      </c>
      <c r="P804" s="162"/>
      <c r="R804" s="157"/>
      <c r="S804" s="157"/>
    </row>
    <row r="805" spans="1:23" s="161" customFormat="1" ht="16.5" customHeight="1" x14ac:dyDescent="0.2">
      <c r="A805" s="38">
        <f>COUNTIF($J$1:J805,"!")</f>
        <v>50</v>
      </c>
      <c r="B805" s="179" t="s">
        <v>49</v>
      </c>
      <c r="C805" s="164"/>
      <c r="D805" s="166"/>
      <c r="E805" s="166"/>
      <c r="F805" s="166"/>
      <c r="G805" s="42"/>
      <c r="H805" s="42">
        <f>IFERROR(J805*M805*L805,"")</f>
        <v>200</v>
      </c>
      <c r="I805" s="167"/>
      <c r="J805" s="168">
        <f>P$1</f>
        <v>1</v>
      </c>
      <c r="K805" s="169">
        <f t="shared" si="297"/>
        <v>200</v>
      </c>
      <c r="L805" s="170" t="str">
        <f>IFERROR(VLOOKUP(C805,元件库!$B:$O,10,FALSE),"1.00")</f>
        <v>1.00</v>
      </c>
      <c r="M805" s="171">
        <v>200</v>
      </c>
      <c r="O805" s="174" t="str">
        <f>O804</f>
        <v>HXGN-500*900*2000</v>
      </c>
      <c r="P805" s="162"/>
      <c r="Q805" s="162"/>
    </row>
    <row r="806" spans="1:23" s="161" customFormat="1" ht="16.5" customHeight="1" x14ac:dyDescent="0.2">
      <c r="A806" s="38">
        <f>COUNTIF($J$1:J806,"!")</f>
        <v>50</v>
      </c>
      <c r="B806" s="179" t="s">
        <v>79</v>
      </c>
      <c r="C806" s="164"/>
      <c r="D806" s="166"/>
      <c r="E806" s="166"/>
      <c r="F806" s="166"/>
      <c r="G806" s="42"/>
      <c r="H806" s="42">
        <f>K806*L806</f>
        <v>785.58179999999993</v>
      </c>
      <c r="I806" s="167"/>
      <c r="J806" s="168"/>
      <c r="K806" s="169">
        <f>SUM(H804:H805)+I803</f>
        <v>6546.5149999999994</v>
      </c>
      <c r="L806" s="279">
        <f>R$1</f>
        <v>0.12</v>
      </c>
      <c r="M806" s="171"/>
      <c r="O806" s="181"/>
      <c r="P806" s="162"/>
      <c r="Q806" s="162"/>
    </row>
    <row r="807" spans="1:23" ht="16.5" customHeight="1" x14ac:dyDescent="0.2">
      <c r="A807" s="38">
        <f>COUNTIF($J$1:J807,"!")</f>
        <v>50</v>
      </c>
      <c r="B807" s="179" t="s">
        <v>108</v>
      </c>
      <c r="C807" s="164"/>
      <c r="D807" s="166"/>
      <c r="E807" s="166"/>
      <c r="F807" s="166"/>
      <c r="G807" s="184"/>
      <c r="H807" s="42">
        <f>K807*L807</f>
        <v>219.96290399999998</v>
      </c>
      <c r="I807" s="167"/>
      <c r="J807" s="168"/>
      <c r="K807" s="169">
        <f>H806+K806</f>
        <v>7332.0967999999993</v>
      </c>
      <c r="L807" s="279">
        <f>T$1</f>
        <v>0.03</v>
      </c>
      <c r="M807" s="171"/>
      <c r="O807" s="161"/>
      <c r="P807" s="162"/>
      <c r="R807" s="157"/>
      <c r="S807" s="157"/>
    </row>
    <row r="808" spans="1:23" s="162" customFormat="1" ht="16.5" customHeight="1" x14ac:dyDescent="0.15">
      <c r="A808" s="32">
        <f>COUNTIF($J$1:J808,"!")</f>
        <v>51</v>
      </c>
      <c r="B808" s="33" t="s">
        <v>1886</v>
      </c>
      <c r="C808" s="296" t="s">
        <v>3182</v>
      </c>
      <c r="D808" s="159" t="s">
        <v>3181</v>
      </c>
      <c r="E808" s="34" t="s">
        <v>23</v>
      </c>
      <c r="F808" s="159">
        <v>1</v>
      </c>
      <c r="G808" s="36">
        <f>ROUND(SUM(H809:H827),0)</f>
        <v>6671</v>
      </c>
      <c r="H808" s="160" t="str">
        <f>IF(ISNUMBER(FIND(" ",C809)),MID(C809,1,FIND(" ",C809)-1),IF(ISNUMBER(FIND("电容柜",B808)),"GGJ",MID(C809,1,FIND("-",C809)-1)))</f>
        <v>HXGN</v>
      </c>
      <c r="I808" s="47" t="str">
        <f>MID(C809,IF(LEN(C809)-LEN(H808)&gt;3,LEN(H808)+2,1),30)</f>
        <v>800*900*2000</v>
      </c>
      <c r="J808" s="48" t="s">
        <v>24</v>
      </c>
      <c r="K808" s="49"/>
      <c r="L808" s="50"/>
      <c r="M808" s="51"/>
      <c r="N808" s="172"/>
      <c r="O808" s="161"/>
    </row>
    <row r="809" spans="1:23" s="162" customFormat="1" ht="16.5" customHeight="1" x14ac:dyDescent="0.2">
      <c r="A809" s="38">
        <f>COUNTIF($J$1:J809,"!")</f>
        <v>51</v>
      </c>
      <c r="B809" s="163" t="str">
        <f>IFERROR(VLOOKUP(C809,元件库!$B:$O,3,FALSE),"")</f>
        <v>壳体W*D*H</v>
      </c>
      <c r="C809" s="164" t="s">
        <v>3122</v>
      </c>
      <c r="D809" s="165" t="str">
        <f>IFERROR(VLOOKUP(C809,元件库!$B:$O,2,FALSE),"")</f>
        <v>精益联合集团</v>
      </c>
      <c r="E809" s="166" t="str">
        <f t="shared" ref="E809:E814" si="298">IF(D809="欣利铜材","米",IF(B809="氧化锌避雷器","组","只"))</f>
        <v>只</v>
      </c>
      <c r="F809" s="166">
        <v>1</v>
      </c>
      <c r="G809" s="42">
        <f t="shared" ref="G809:G814" si="299">IFERROR(J809*K809,"")</f>
        <v>1800</v>
      </c>
      <c r="H809" s="42">
        <f t="shared" ref="H809:H814" si="300">IFERROR(G809*F809,"")</f>
        <v>1800</v>
      </c>
      <c r="I809" s="167"/>
      <c r="J809" s="168">
        <f t="shared" ref="J809:J814" si="301">P$1</f>
        <v>1</v>
      </c>
      <c r="K809" s="169">
        <f t="shared" ref="K809:K814" si="302">IFERROR(M809*L809,"")</f>
        <v>1800</v>
      </c>
      <c r="L809" s="170">
        <f>IFERROR(VLOOKUP(C809,元件库!$B:$O,10,FALSE),"1.00")</f>
        <v>1</v>
      </c>
      <c r="M809" s="171">
        <f>IFERROR(VLOOKUP(C809,元件库!$B:$O,11,FALSE),"")</f>
        <v>1800</v>
      </c>
      <c r="N809" s="172" t="str">
        <f t="shared" ref="N809:N822" ca="1" si="303">IF(AND(ISNUMBER(FIND("IF",_xlfn.FORMULATEXT(L809))),ISNUMBER(FIND("IF",_xlfn.FORMULATEXT(M809)))),"","值")</f>
        <v/>
      </c>
      <c r="O809" s="157"/>
      <c r="P809" s="157"/>
    </row>
    <row r="810" spans="1:23" s="175" customFormat="1" ht="16.5" customHeight="1" x14ac:dyDescent="0.2">
      <c r="A810" s="38">
        <f>COUNTIF($J$1:J810,"!")</f>
        <v>51</v>
      </c>
      <c r="B810" s="163" t="str">
        <f>IFERROR(VLOOKUP(C810,元件库!$B:$O,3,FALSE),"")</f>
        <v/>
      </c>
      <c r="C810" s="164" t="s">
        <v>861</v>
      </c>
      <c r="D810" s="165" t="str">
        <f>IFERROR(VLOOKUP(C810,元件库!$B:$O,2,FALSE),"")</f>
        <v/>
      </c>
      <c r="E810" s="166" t="str">
        <f t="shared" si="298"/>
        <v>只</v>
      </c>
      <c r="F810" s="166">
        <v>1</v>
      </c>
      <c r="G810" s="42" t="str">
        <f t="shared" si="299"/>
        <v/>
      </c>
      <c r="H810" s="42" t="str">
        <f t="shared" si="300"/>
        <v/>
      </c>
      <c r="I810" s="167"/>
      <c r="J810" s="168">
        <f t="shared" si="301"/>
        <v>1</v>
      </c>
      <c r="K810" s="169" t="str">
        <f t="shared" si="302"/>
        <v/>
      </c>
      <c r="L810" s="170" t="str">
        <f>IFERROR(VLOOKUP(C810,元件库!$B:$O,10,FALSE),"1.00")</f>
        <v>1.00</v>
      </c>
      <c r="M810" s="171" t="str">
        <f>IFERROR(VLOOKUP(C810,元件库!$B:$O,11,FALSE),"")</f>
        <v/>
      </c>
      <c r="N810" s="172" t="str">
        <f t="shared" ca="1" si="303"/>
        <v/>
      </c>
      <c r="O810" s="157"/>
      <c r="W810" s="162"/>
    </row>
    <row r="811" spans="1:23" s="175" customFormat="1" ht="16.5" customHeight="1" x14ac:dyDescent="0.2">
      <c r="A811" s="38">
        <f>COUNTIF($J$1:J811,"!")</f>
        <v>51</v>
      </c>
      <c r="B811" s="163" t="str">
        <f>IFERROR(VLOOKUP(C811,元件库!$B:$O,3,FALSE),"")</f>
        <v>高压熔断器</v>
      </c>
      <c r="C811" s="164" t="s">
        <v>3123</v>
      </c>
      <c r="D811" s="165" t="str">
        <f>IFERROR(VLOOKUP(C811,元件库!$B:$O,2,FALSE),"")</f>
        <v>上海智广</v>
      </c>
      <c r="E811" s="166" t="str">
        <f t="shared" si="298"/>
        <v>只</v>
      </c>
      <c r="F811" s="166">
        <v>3</v>
      </c>
      <c r="G811" s="42">
        <f t="shared" si="299"/>
        <v>140</v>
      </c>
      <c r="H811" s="42">
        <f t="shared" si="300"/>
        <v>420</v>
      </c>
      <c r="I811" s="167"/>
      <c r="J811" s="168">
        <f t="shared" si="301"/>
        <v>1</v>
      </c>
      <c r="K811" s="169">
        <f t="shared" si="302"/>
        <v>140</v>
      </c>
      <c r="L811" s="170">
        <f>IFERROR(VLOOKUP(C811,元件库!$B:$O,10,FALSE),"1.00")</f>
        <v>1</v>
      </c>
      <c r="M811" s="171">
        <f>IFERROR(VLOOKUP(C811,元件库!$B:$O,11,FALSE),"")</f>
        <v>140</v>
      </c>
      <c r="N811" s="172" t="str">
        <f t="shared" ca="1" si="303"/>
        <v/>
      </c>
      <c r="O811" s="157"/>
      <c r="W811" s="162"/>
    </row>
    <row r="812" spans="1:23" s="175" customFormat="1" ht="16.5" customHeight="1" x14ac:dyDescent="0.2">
      <c r="A812" s="38">
        <f>COUNTIF($J$1:J812,"!")</f>
        <v>51</v>
      </c>
      <c r="B812" s="163" t="str">
        <f>IFERROR(VLOOKUP(C812,元件库!$B:$O,3,FALSE),"")</f>
        <v>穿墙套管</v>
      </c>
      <c r="C812" s="164" t="s">
        <v>135</v>
      </c>
      <c r="D812" s="165" t="str">
        <f>IFERROR(VLOOKUP(C812,元件库!$B:$O,2,FALSE),"")</f>
        <v>福一开</v>
      </c>
      <c r="E812" s="166" t="str">
        <f t="shared" si="298"/>
        <v>只</v>
      </c>
      <c r="F812" s="166">
        <v>3</v>
      </c>
      <c r="G812" s="42">
        <f t="shared" si="299"/>
        <v>45</v>
      </c>
      <c r="H812" s="42">
        <f t="shared" si="300"/>
        <v>135</v>
      </c>
      <c r="I812" s="167"/>
      <c r="J812" s="168">
        <f t="shared" si="301"/>
        <v>1</v>
      </c>
      <c r="K812" s="169">
        <f t="shared" si="302"/>
        <v>45</v>
      </c>
      <c r="L812" s="170">
        <f>IFERROR(VLOOKUP(C812,元件库!$B:$O,10,FALSE),"1.00")</f>
        <v>1</v>
      </c>
      <c r="M812" s="171">
        <f>IFERROR(VLOOKUP(C812,元件库!$B:$O,11,FALSE),"")</f>
        <v>45</v>
      </c>
      <c r="N812" s="172" t="str">
        <f t="shared" ca="1" si="303"/>
        <v/>
      </c>
      <c r="O812" s="157"/>
      <c r="W812" s="162"/>
    </row>
    <row r="813" spans="1:23" s="175" customFormat="1" ht="16.5" customHeight="1" x14ac:dyDescent="0.2">
      <c r="A813" s="38">
        <f>COUNTIF($J$1:J813,"!")</f>
        <v>51</v>
      </c>
      <c r="B813" s="163" t="str">
        <f>IFERROR(VLOOKUP(C813,元件库!$B:$O,3,FALSE),"")</f>
        <v>支柱绝缘子</v>
      </c>
      <c r="C813" s="164" t="s">
        <v>136</v>
      </c>
      <c r="D813" s="165" t="str">
        <f>IFERROR(VLOOKUP(C813,元件库!$B:$O,2,FALSE),"")</f>
        <v>福一开</v>
      </c>
      <c r="E813" s="166" t="str">
        <f t="shared" si="298"/>
        <v>只</v>
      </c>
      <c r="F813" s="166">
        <v>3</v>
      </c>
      <c r="G813" s="42">
        <f t="shared" si="299"/>
        <v>22</v>
      </c>
      <c r="H813" s="42">
        <f t="shared" si="300"/>
        <v>66</v>
      </c>
      <c r="I813" s="167"/>
      <c r="J813" s="168">
        <f t="shared" si="301"/>
        <v>1</v>
      </c>
      <c r="K813" s="169">
        <f t="shared" si="302"/>
        <v>22</v>
      </c>
      <c r="L813" s="170">
        <f>IFERROR(VLOOKUP(C813,元件库!$B:$O,10,FALSE),"1.00")</f>
        <v>1</v>
      </c>
      <c r="M813" s="171">
        <f>IFERROR(VLOOKUP(C813,元件库!$B:$O,11,FALSE),"")</f>
        <v>22</v>
      </c>
      <c r="N813" s="172" t="str">
        <f t="shared" ca="1" si="303"/>
        <v/>
      </c>
      <c r="O813" s="157"/>
      <c r="W813" s="162"/>
    </row>
    <row r="814" spans="1:23" s="175" customFormat="1" ht="16.5" customHeight="1" x14ac:dyDescent="0.2">
      <c r="A814" s="38">
        <f>COUNTIF($J$1:J814,"!")</f>
        <v>51</v>
      </c>
      <c r="B814" s="163" t="str">
        <f>IFERROR(VLOOKUP(C814,元件库!$B:$O,3,FALSE),"")</f>
        <v>电压传感器</v>
      </c>
      <c r="C814" s="164" t="s">
        <v>137</v>
      </c>
      <c r="D814" s="165" t="str">
        <f>IFERROR(VLOOKUP(C814,元件库!$B:$O,2,FALSE),"")</f>
        <v>福一开</v>
      </c>
      <c r="E814" s="166" t="str">
        <f t="shared" si="298"/>
        <v>只</v>
      </c>
      <c r="F814" s="166">
        <v>1</v>
      </c>
      <c r="G814" s="42">
        <f t="shared" si="299"/>
        <v>93</v>
      </c>
      <c r="H814" s="42">
        <f t="shared" si="300"/>
        <v>93</v>
      </c>
      <c r="I814" s="167"/>
      <c r="J814" s="168">
        <f t="shared" si="301"/>
        <v>1</v>
      </c>
      <c r="K814" s="169">
        <f t="shared" si="302"/>
        <v>93</v>
      </c>
      <c r="L814" s="170">
        <f>IFERROR(VLOOKUP(C814,元件库!$B:$O,10,FALSE),"1.00")</f>
        <v>1</v>
      </c>
      <c r="M814" s="171">
        <f>IFERROR(VLOOKUP(C814,元件库!$B:$O,11,FALSE),"")</f>
        <v>93</v>
      </c>
      <c r="N814" s="172" t="str">
        <f t="shared" ca="1" si="303"/>
        <v/>
      </c>
      <c r="O814" s="157"/>
      <c r="W814" s="162"/>
    </row>
    <row r="815" spans="1:23" s="175" customFormat="1" ht="16.5" customHeight="1" x14ac:dyDescent="0.2">
      <c r="A815" s="38">
        <f>COUNTIF($J$1:J815,"!")</f>
        <v>51</v>
      </c>
      <c r="B815" s="163" t="str">
        <f>IFERROR(VLOOKUP(C815,元件库!$B:$O,3,FALSE),"")</f>
        <v>带电显示器</v>
      </c>
      <c r="C815" s="164" t="s">
        <v>1897</v>
      </c>
      <c r="D815" s="165" t="str">
        <f>IFERROR(VLOOKUP(C815,元件库!$B:$O,2,FALSE),"")</f>
        <v>江山鑫源</v>
      </c>
      <c r="E815" s="166" t="str">
        <f>IF(D815="欣利铜材","米",IF(B815="氧化锌避雷器","组","只"))</f>
        <v>只</v>
      </c>
      <c r="F815" s="166">
        <v>1</v>
      </c>
      <c r="G815" s="42">
        <f>IFERROR(J815*K815,"")</f>
        <v>33</v>
      </c>
      <c r="H815" s="42">
        <f>IFERROR(G815*F815,"")</f>
        <v>33</v>
      </c>
      <c r="I815" s="167"/>
      <c r="J815" s="168">
        <f>P$1</f>
        <v>1</v>
      </c>
      <c r="K815" s="169">
        <f>IFERROR(M815*L815,"")</f>
        <v>33</v>
      </c>
      <c r="L815" s="170">
        <f>IFERROR(VLOOKUP(C815,元件库!$B:$O,10,FALSE),"1.00")</f>
        <v>1</v>
      </c>
      <c r="M815" s="171">
        <f>IFERROR(VLOOKUP(C815,元件库!$B:$O,11,FALSE),"")</f>
        <v>33</v>
      </c>
      <c r="N815" s="172" t="str">
        <f t="shared" ca="1" si="303"/>
        <v/>
      </c>
      <c r="O815" s="157"/>
      <c r="W815" s="162"/>
    </row>
    <row r="816" spans="1:23" s="175" customFormat="1" ht="16.5" customHeight="1" x14ac:dyDescent="0.2">
      <c r="A816" s="38">
        <f>COUNTIF($J$1:J816,"!")</f>
        <v>51</v>
      </c>
      <c r="B816" s="163" t="str">
        <f>IFERROR(VLOOKUP(C816,元件库!$B:$O,3,FALSE),"")</f>
        <v>电磁锁</v>
      </c>
      <c r="C816" s="164" t="s">
        <v>98</v>
      </c>
      <c r="D816" s="165" t="str">
        <f>IFERROR(VLOOKUP(C816,元件库!$B:$O,2,FALSE),"")</f>
        <v>哈陆拉</v>
      </c>
      <c r="E816" s="166" t="str">
        <f>IF(D816="欣利铜材","米",IF(B816="氧化锌避雷器","组","只"))</f>
        <v>只</v>
      </c>
      <c r="F816" s="166">
        <v>1</v>
      </c>
      <c r="G816" s="42">
        <f>IFERROR(J816*K816,"")</f>
        <v>55</v>
      </c>
      <c r="H816" s="42">
        <f>IFERROR(G816*F816,"")</f>
        <v>55</v>
      </c>
      <c r="I816" s="167"/>
      <c r="J816" s="168">
        <f t="shared" ref="J816:J822" si="304">P$1</f>
        <v>1</v>
      </c>
      <c r="K816" s="169">
        <f>IFERROR(M816*L816,"")</f>
        <v>55</v>
      </c>
      <c r="L816" s="170">
        <f>IFERROR(VLOOKUP(C816,元件库!$B:$O,10,FALSE),"1.00")</f>
        <v>1</v>
      </c>
      <c r="M816" s="171">
        <f>IFERROR(VLOOKUP(C816,元件库!$B:$O,11,FALSE),"")</f>
        <v>55</v>
      </c>
      <c r="N816" s="172" t="str">
        <f t="shared" ca="1" si="303"/>
        <v/>
      </c>
      <c r="O816" s="157"/>
      <c r="W816" s="162"/>
    </row>
    <row r="817" spans="1:19" s="175" customFormat="1" ht="16.5" customHeight="1" x14ac:dyDescent="0.2">
      <c r="A817" s="38">
        <f>COUNTIF($J$1:J817,"!")</f>
        <v>51</v>
      </c>
      <c r="B817" s="163" t="str">
        <f>IFERROR(VLOOKUP(C817,元件库!$B:$O,3,FALSE),"")</f>
        <v>温湿度控制器</v>
      </c>
      <c r="C817" s="164" t="s">
        <v>153</v>
      </c>
      <c r="D817" s="165" t="str">
        <f>IFERROR(VLOOKUP(C817,元件库!$B:$O,2,FALSE),"")</f>
        <v>实德电气</v>
      </c>
      <c r="E817" s="166" t="str">
        <f t="shared" ref="E817:E822" si="305">IF(D817="欣利铜材","米",IF(B817="氧化锌避雷器","组","只"))</f>
        <v>只</v>
      </c>
      <c r="F817" s="166">
        <v>1</v>
      </c>
      <c r="G817" s="42">
        <f t="shared" ref="G817:G822" si="306">IFERROR(J817*K817,"")</f>
        <v>110</v>
      </c>
      <c r="H817" s="42">
        <f t="shared" ref="H817:H822" si="307">IFERROR(G817*F817,"")</f>
        <v>110</v>
      </c>
      <c r="I817" s="167"/>
      <c r="J817" s="168">
        <f t="shared" si="304"/>
        <v>1</v>
      </c>
      <c r="K817" s="169">
        <f t="shared" ref="K817:K822" si="308">IFERROR(M817*L817,"")</f>
        <v>110</v>
      </c>
      <c r="L817" s="170">
        <f>IFERROR(VLOOKUP(C817,元件库!$B:$O,10,FALSE),"1.00")</f>
        <v>1</v>
      </c>
      <c r="M817" s="171">
        <f>IFERROR(VLOOKUP(C817,元件库!$B:$O,11,FALSE),"")</f>
        <v>110</v>
      </c>
      <c r="N817" s="172" t="str">
        <f t="shared" ca="1" si="303"/>
        <v/>
      </c>
      <c r="O817" s="157"/>
    </row>
    <row r="818" spans="1:19" s="175" customFormat="1" ht="16.5" customHeight="1" x14ac:dyDescent="0.2">
      <c r="A818" s="38">
        <f>COUNTIF($J$1:J818,"!")</f>
        <v>51</v>
      </c>
      <c r="B818" s="163" t="str">
        <f>IFERROR(VLOOKUP(C818,元件库!$B:$O,3,FALSE),"")</f>
        <v>加热器</v>
      </c>
      <c r="C818" s="164" t="s">
        <v>101</v>
      </c>
      <c r="D818" s="165" t="str">
        <f>IFERROR(VLOOKUP(C818,元件库!$B:$O,2,FALSE),"")</f>
        <v>实德电气</v>
      </c>
      <c r="E818" s="166" t="str">
        <f t="shared" si="305"/>
        <v>只</v>
      </c>
      <c r="F818" s="166">
        <v>2</v>
      </c>
      <c r="G818" s="42">
        <f t="shared" si="306"/>
        <v>18</v>
      </c>
      <c r="H818" s="42">
        <f t="shared" si="307"/>
        <v>36</v>
      </c>
      <c r="I818" s="167"/>
      <c r="J818" s="168">
        <f t="shared" si="304"/>
        <v>1</v>
      </c>
      <c r="K818" s="169">
        <f t="shared" si="308"/>
        <v>18</v>
      </c>
      <c r="L818" s="170">
        <f>IFERROR(VLOOKUP(C818,元件库!$B:$O,10,FALSE),"1.00")</f>
        <v>1</v>
      </c>
      <c r="M818" s="171">
        <f>IFERROR(VLOOKUP(C818,元件库!$B:$O,11,FALSE),"")</f>
        <v>18</v>
      </c>
      <c r="N818" s="172" t="str">
        <f t="shared" ca="1" si="303"/>
        <v/>
      </c>
      <c r="O818" s="157"/>
    </row>
    <row r="819" spans="1:19" s="175" customFormat="1" ht="16.5" customHeight="1" x14ac:dyDescent="0.2">
      <c r="A819" s="38">
        <f>COUNTIF($J$1:J819,"!")</f>
        <v>51</v>
      </c>
      <c r="B819" s="163" t="str">
        <f>IFERROR(VLOOKUP(C819,元件库!$B:$O,3,FALSE),"")</f>
        <v>高压热缩管</v>
      </c>
      <c r="C819" s="185" t="str">
        <f>"10KV"&amp;MID(C821,4,10)</f>
        <v>10KV-60*6</v>
      </c>
      <c r="D819" s="165" t="str">
        <f>IFERROR(VLOOKUP(C819,元件库!$B:$O,2,FALSE),"")</f>
        <v>精益联合集团</v>
      </c>
      <c r="E819" s="166" t="str">
        <f t="shared" si="305"/>
        <v>只</v>
      </c>
      <c r="F819" s="166">
        <f>ROUND(SUM(F821:F822),0)</f>
        <v>3</v>
      </c>
      <c r="G819" s="42">
        <f t="shared" si="306"/>
        <v>12</v>
      </c>
      <c r="H819" s="42">
        <f t="shared" si="307"/>
        <v>36</v>
      </c>
      <c r="I819" s="167"/>
      <c r="J819" s="168">
        <f t="shared" si="304"/>
        <v>1</v>
      </c>
      <c r="K819" s="169">
        <f t="shared" si="308"/>
        <v>12</v>
      </c>
      <c r="L819" s="170">
        <f>IFERROR(VLOOKUP(C819,元件库!$B:$O,10,FALSE),"1.00")</f>
        <v>1</v>
      </c>
      <c r="M819" s="171">
        <f>IFERROR(VLOOKUP(C819,元件库!$B:$O,11,FALSE),"")</f>
        <v>12</v>
      </c>
      <c r="N819" s="172" t="str">
        <f t="shared" ca="1" si="303"/>
        <v/>
      </c>
      <c r="O819" s="157"/>
    </row>
    <row r="820" spans="1:19" s="175" customFormat="1" ht="16.5" customHeight="1" x14ac:dyDescent="0.2">
      <c r="A820" s="38">
        <f>COUNTIF($J$1:J820,"!")</f>
        <v>51</v>
      </c>
      <c r="B820" s="163" t="str">
        <f>IFERROR(VLOOKUP(C820,元件库!$B:$O,3,FALSE),"")</f>
        <v>铜排</v>
      </c>
      <c r="C820" s="185" t="s">
        <v>1889</v>
      </c>
      <c r="D820" s="165" t="str">
        <f>IFERROR(VLOOKUP(C820,元件库!$B:$O,2,FALSE),"")</f>
        <v>欣利铜材</v>
      </c>
      <c r="E820" s="166" t="str">
        <f t="shared" si="305"/>
        <v>米</v>
      </c>
      <c r="F820" s="166">
        <v>6</v>
      </c>
      <c r="G820" s="42">
        <f t="shared" si="306"/>
        <v>182.62799999999999</v>
      </c>
      <c r="H820" s="42">
        <f t="shared" si="307"/>
        <v>1095.768</v>
      </c>
      <c r="I820" s="167"/>
      <c r="J820" s="168">
        <f t="shared" si="304"/>
        <v>1</v>
      </c>
      <c r="K820" s="169">
        <f t="shared" si="308"/>
        <v>182.62799999999999</v>
      </c>
      <c r="L820" s="170">
        <f>IFERROR(VLOOKUP(C820,元件库!$B:$O,10,FALSE),"1.00")</f>
        <v>1</v>
      </c>
      <c r="M820" s="171">
        <f>IFERROR(VLOOKUP(C820,元件库!$B:$O,11,FALSE),"")</f>
        <v>182.62799999999999</v>
      </c>
      <c r="N820" s="172" t="str">
        <f t="shared" ca="1" si="303"/>
        <v/>
      </c>
      <c r="O820" s="174" t="str">
        <f>O822</f>
        <v>HXGN-800*900*2000</v>
      </c>
    </row>
    <row r="821" spans="1:19" s="175" customFormat="1" ht="16.5" customHeight="1" x14ac:dyDescent="0.2">
      <c r="A821" s="38">
        <f>COUNTIF($J$1:J821,"!")</f>
        <v>51</v>
      </c>
      <c r="B821" s="163" t="s">
        <v>2171</v>
      </c>
      <c r="C821" s="185" t="s">
        <v>1889</v>
      </c>
      <c r="D821" s="165" t="str">
        <f>IFERROR(VLOOKUP(C821,元件库!$B:$O,2,FALSE),"")</f>
        <v>欣利铜材</v>
      </c>
      <c r="E821" s="166" t="str">
        <f t="shared" si="305"/>
        <v>米</v>
      </c>
      <c r="F821" s="166">
        <f>1*MID(O821,FIND("-",O821)+1,FIND("*",O821)-FIND("-",O821)-1)/1000*IF(B821="水平排",3,1)+IF(AND(B821="零母排",VLOOKUP(A821,A$1:B818,2,FALSE)="低压进线柜"),1.5,0)</f>
        <v>2.4000000000000004</v>
      </c>
      <c r="G821" s="42">
        <f t="shared" si="306"/>
        <v>182.62799999999999</v>
      </c>
      <c r="H821" s="42">
        <f t="shared" si="307"/>
        <v>438.30720000000002</v>
      </c>
      <c r="I821" s="167"/>
      <c r="J821" s="168">
        <f t="shared" si="304"/>
        <v>1</v>
      </c>
      <c r="K821" s="169">
        <f t="shared" si="308"/>
        <v>182.62799999999999</v>
      </c>
      <c r="L821" s="170">
        <f>IFERROR(VLOOKUP(C821,元件库!$B:$O,10,FALSE),"1.00")</f>
        <v>1</v>
      </c>
      <c r="M821" s="171">
        <f>IFERROR(VLOOKUP(C821,元件库!$B:$O,11,FALSE),"")</f>
        <v>182.62799999999999</v>
      </c>
      <c r="N821" s="172" t="str">
        <f t="shared" ca="1" si="303"/>
        <v/>
      </c>
      <c r="O821" s="174" t="str">
        <f>O824</f>
        <v>HXGN-800*900*2000</v>
      </c>
    </row>
    <row r="822" spans="1:19" s="175" customFormat="1" ht="16.5" customHeight="1" x14ac:dyDescent="0.2">
      <c r="A822" s="38">
        <f>COUNTIF($J$1:J822,"!")</f>
        <v>51</v>
      </c>
      <c r="B822" s="163" t="s">
        <v>2172</v>
      </c>
      <c r="C822" s="185" t="s">
        <v>2326</v>
      </c>
      <c r="D822" s="165" t="str">
        <f>IFERROR(VLOOKUP(C822,元件库!$B:$O,2,FALSE),"")</f>
        <v>欣利铜材</v>
      </c>
      <c r="E822" s="166" t="str">
        <f t="shared" si="305"/>
        <v>米</v>
      </c>
      <c r="F822" s="166">
        <f>1*MID(O822,FIND("-",O822)+1,FIND("*",O822)-FIND("-",O822)-1)/1000*IF(B822="水平排",3,1)+IF(AND(B822="零母排",VLOOKUP(A822,A$1:B819,2,FALSE)="低压进线柜"),1.5,0)</f>
        <v>0.8</v>
      </c>
      <c r="G822" s="42">
        <f t="shared" si="306"/>
        <v>81.167999999999992</v>
      </c>
      <c r="H822" s="42">
        <f t="shared" si="307"/>
        <v>64.934399999999997</v>
      </c>
      <c r="I822" s="167"/>
      <c r="J822" s="168">
        <f t="shared" si="304"/>
        <v>1</v>
      </c>
      <c r="K822" s="169">
        <f t="shared" si="308"/>
        <v>81.167999999999992</v>
      </c>
      <c r="L822" s="170">
        <f>IFERROR(VLOOKUP(C822,元件库!$B:$O,10,FALSE),"1.00")</f>
        <v>1</v>
      </c>
      <c r="M822" s="171">
        <f>IFERROR(VLOOKUP(C822,元件库!$B:$O,11,FALSE),"")</f>
        <v>81.167999999999992</v>
      </c>
      <c r="N822" s="172" t="str">
        <f t="shared" ca="1" si="303"/>
        <v/>
      </c>
      <c r="O822" s="174" t="str">
        <f>O825</f>
        <v>HXGN-800*900*2000</v>
      </c>
    </row>
    <row r="823" spans="1:19" s="162" customFormat="1" ht="16.5" customHeight="1" x14ac:dyDescent="0.2">
      <c r="A823" s="38">
        <f>COUNTIF($J$1:J823,"!")</f>
        <v>51</v>
      </c>
      <c r="B823" s="177" t="s">
        <v>107</v>
      </c>
      <c r="C823" s="164"/>
      <c r="D823" s="166"/>
      <c r="E823" s="166"/>
      <c r="F823" s="166"/>
      <c r="G823" s="42"/>
      <c r="H823" s="42"/>
      <c r="I823" s="178">
        <f>SUM(H809:H823)</f>
        <v>4383.0096000000003</v>
      </c>
      <c r="J823" s="168"/>
      <c r="K823" s="169"/>
      <c r="L823" s="170"/>
      <c r="M823" s="171"/>
      <c r="O823" s="161"/>
      <c r="P823" s="157"/>
    </row>
    <row r="824" spans="1:19" ht="16.5" customHeight="1" x14ac:dyDescent="0.2">
      <c r="A824" s="38">
        <f>COUNTIF($J$1:J824,"!")</f>
        <v>51</v>
      </c>
      <c r="B824" s="179" t="s">
        <v>47</v>
      </c>
      <c r="C824" s="164"/>
      <c r="D824" s="166"/>
      <c r="E824" s="166"/>
      <c r="F824" s="166"/>
      <c r="G824" s="42"/>
      <c r="H824" s="42">
        <f>IFERROR(J824*M824*L824,"")</f>
        <v>800</v>
      </c>
      <c r="I824" s="167"/>
      <c r="J824" s="168">
        <f>P$1</f>
        <v>1</v>
      </c>
      <c r="K824" s="169">
        <f>IFERROR(M824*L824,"")</f>
        <v>800</v>
      </c>
      <c r="L824" s="170" t="str">
        <f>IFERROR(VLOOKUP(C824,元件库!$B:$O,10,FALSE),"1.00")</f>
        <v>1.00</v>
      </c>
      <c r="M824" s="171">
        <f>IF(ISNUMBER(FIND("提升",VLOOKUP(A824,A$1:B823,2,FALSE))),IF(B824="成套费",400,200),IF(OR(ISNUMBER(FIND("XGN",O824)),ISNUMBER(FIND("HXGN",O824))),IF(B824="成套费",800,600),IF(ISNUMBER(FIND("KYN28",O824)),IF(B824="成套费",900,700),"")))</f>
        <v>800</v>
      </c>
      <c r="O824" s="180" t="str">
        <f>C809</f>
        <v>HXGN-800*900*2000</v>
      </c>
      <c r="P824" s="162"/>
      <c r="R824" s="157"/>
      <c r="S824" s="157"/>
    </row>
    <row r="825" spans="1:19" s="161" customFormat="1" ht="16.5" customHeight="1" x14ac:dyDescent="0.2">
      <c r="A825" s="38">
        <f>COUNTIF($J$1:J825,"!")</f>
        <v>51</v>
      </c>
      <c r="B825" s="179" t="s">
        <v>49</v>
      </c>
      <c r="C825" s="164"/>
      <c r="D825" s="166"/>
      <c r="E825" s="166"/>
      <c r="F825" s="166"/>
      <c r="G825" s="42"/>
      <c r="H825" s="42">
        <f>IFERROR(J825*M825*L825,"")</f>
        <v>600</v>
      </c>
      <c r="I825" s="167"/>
      <c r="J825" s="168">
        <f>P$1</f>
        <v>1</v>
      </c>
      <c r="K825" s="169">
        <f>IFERROR(M825*L825,"")</f>
        <v>600</v>
      </c>
      <c r="L825" s="170" t="str">
        <f>IFERROR(VLOOKUP(C825,元件库!$B:$O,10,FALSE),"1.00")</f>
        <v>1.00</v>
      </c>
      <c r="M825" s="171">
        <f>IF(ISNUMBER(FIND("提升",VLOOKUP(A825,A$1:B824,2,FALSE))),IF(B825="成套费",400,200),IF(OR(ISNUMBER(FIND("XGN",O825)),ISNUMBER(FIND("HXGN",O825))),IF(B825="成套费",800,600),IF(ISNUMBER(FIND("KYN28",O825)),IF(B825="成套费",900,700),"")))</f>
        <v>600</v>
      </c>
      <c r="O825" s="174" t="str">
        <f>O824</f>
        <v>HXGN-800*900*2000</v>
      </c>
      <c r="P825" s="162"/>
      <c r="Q825" s="162"/>
    </row>
    <row r="826" spans="1:19" s="161" customFormat="1" ht="16.5" customHeight="1" x14ac:dyDescent="0.2">
      <c r="A826" s="38">
        <f>COUNTIF($J$1:J826,"!")</f>
        <v>51</v>
      </c>
      <c r="B826" s="179" t="s">
        <v>79</v>
      </c>
      <c r="C826" s="164"/>
      <c r="D826" s="166"/>
      <c r="E826" s="166"/>
      <c r="F826" s="166"/>
      <c r="G826" s="42"/>
      <c r="H826" s="42">
        <f>K826*L826</f>
        <v>693.96115199999997</v>
      </c>
      <c r="I826" s="167"/>
      <c r="J826" s="168"/>
      <c r="K826" s="169">
        <f>SUM(H824:H825)+I823</f>
        <v>5783.0096000000003</v>
      </c>
      <c r="L826" s="279">
        <f>R$1</f>
        <v>0.12</v>
      </c>
      <c r="M826" s="171"/>
      <c r="O826" s="181"/>
      <c r="P826" s="162"/>
      <c r="Q826" s="162"/>
    </row>
    <row r="827" spans="1:19" ht="16.5" customHeight="1" x14ac:dyDescent="0.2">
      <c r="A827" s="38">
        <f>COUNTIF($J$1:J827,"!")</f>
        <v>51</v>
      </c>
      <c r="B827" s="179" t="s">
        <v>108</v>
      </c>
      <c r="C827" s="164"/>
      <c r="D827" s="166"/>
      <c r="E827" s="166"/>
      <c r="F827" s="166"/>
      <c r="G827" s="184"/>
      <c r="H827" s="42">
        <f>K827*L827</f>
        <v>194.30912255999999</v>
      </c>
      <c r="I827" s="167"/>
      <c r="J827" s="168"/>
      <c r="K827" s="169">
        <f>H826+K826</f>
        <v>6476.9707520000002</v>
      </c>
      <c r="L827" s="279">
        <f>T$1</f>
        <v>0.03</v>
      </c>
      <c r="M827" s="171"/>
      <c r="O827" s="161"/>
      <c r="P827" s="162"/>
      <c r="R827" s="157"/>
      <c r="S827" s="157"/>
    </row>
    <row r="828" spans="1:19" ht="16.5" customHeight="1" x14ac:dyDescent="0.15">
      <c r="A828" s="32">
        <f>COUNTIF($J$1:J828,"!")</f>
        <v>52</v>
      </c>
      <c r="B828" s="33" t="str">
        <f>IF(MID(H828,1,3)="SCB","干式","油式")&amp;B829</f>
        <v>干式变压器</v>
      </c>
      <c r="C828" s="158" t="s">
        <v>179</v>
      </c>
      <c r="D828" s="159" t="s">
        <v>3181</v>
      </c>
      <c r="E828" s="34" t="s">
        <v>23</v>
      </c>
      <c r="F828" s="159">
        <v>1</v>
      </c>
      <c r="G828" s="36">
        <f>ROUND(SUM(H829:H832),0)</f>
        <v>33630</v>
      </c>
      <c r="H828" s="160" t="str">
        <f>IF(ISNUMBER(FIND("M",C829)),MID(C829,1,FIND(" ",C829)-1),MID(C829,1,FIND(" ",C829)-1))</f>
        <v>SCB11-500KVA</v>
      </c>
      <c r="I828" s="47" t="str">
        <f>MID(C829,LEN(H828)+2,30)</f>
        <v>全铝</v>
      </c>
      <c r="J828" s="48" t="s">
        <v>24</v>
      </c>
      <c r="K828" s="49"/>
      <c r="L828" s="50"/>
      <c r="M828" s="51"/>
      <c r="N828" s="161" t="str">
        <f>IF(ISNUMBER(FIND("M",C829)),MID(C829,FIND("M",C829)+2,FIND(" ",C829)-FIND("M",C829)-1),MID(C829,FIND("-",C829)+1,FIND(" ",C829)-FIND("-",C829)))</f>
        <v xml:space="preserve">500KVA </v>
      </c>
      <c r="O828" s="297"/>
    </row>
    <row r="829" spans="1:19" ht="16.5" customHeight="1" x14ac:dyDescent="0.2">
      <c r="A829" s="38">
        <f>COUNTIF($J$1:J829,"!")</f>
        <v>52</v>
      </c>
      <c r="B829" s="163" t="str">
        <f>IFERROR(VLOOKUP(C829,元件库!$B:$O,3,FALSE),"")</f>
        <v>变压器</v>
      </c>
      <c r="C829" s="298" t="s">
        <v>3169</v>
      </c>
      <c r="D829" s="165">
        <f>IFERROR(VLOOKUP(C829,元件库!$B:$O,2,FALSE),"")</f>
        <v>0</v>
      </c>
      <c r="E829" s="166" t="s">
        <v>29</v>
      </c>
      <c r="F829" s="166">
        <v>1</v>
      </c>
      <c r="G829" s="42">
        <f>IFERROR(J829*K829,"")</f>
        <v>33630</v>
      </c>
      <c r="H829" s="42">
        <f>IFERROR(G829*F829,"")</f>
        <v>33630</v>
      </c>
      <c r="I829" s="167"/>
      <c r="J829" s="168">
        <f>P$1</f>
        <v>1</v>
      </c>
      <c r="K829" s="169">
        <f>IFERROR(M829*L829,"")</f>
        <v>33630</v>
      </c>
      <c r="L829" s="170">
        <v>0.95</v>
      </c>
      <c r="M829" s="171">
        <f>IFERROR(VLOOKUP(C829,元件库!$B:$O,11,FALSE),"")</f>
        <v>35400</v>
      </c>
      <c r="N829" s="172" t="str">
        <f ca="1">IF(ISNUMBER(FIND("IF",_xlfn.FORMULATEXT(M829))),"","值")</f>
        <v/>
      </c>
      <c r="O829" s="174"/>
      <c r="P829" s="161" t="str">
        <f>IFERROR(((MID(C829,FIND(" ",C829)+1,FIND("*",C829)-FIND(" ",C829)-1)*MID(C829,FIND("*",C829)+1,FIND("*",MID(C829,FIND("*",C829)+1,30))-1))+(MID(C829,FIND(" ",C829)+1,FIND("*",C829)-FIND(" ",C829)-1)*MID(C829,FIND("*",C829)+1+FIND("*",MID(C829,FIND("*",C829)+1,30)),30))+(MID(C829,FIND("*",C829)+1,FIND("*",MID(C829,FIND("*",C829)+1,30))-1)*MID(C829,FIND("*",C829)+1+FIND("*",MID(C829,FIND("*",C829)+1,30)),30)))/500000+IFERROR(IF(ROUND(MID(C829,FIND("*",C829)+FIND("*",MID(C829,FIND("*",C829)+1,30))+1,10),0)&gt;=350,(MID(C829,FIND(" ",C829)+1,FIND("*",C829)-FIND(" ",C829)-1)*MID(C829,FIND("*",C829)+1,FIND("*",MID(C829,FIND("*",C829)+1,30))-1))/2000000,(MID(C829,FIND(" ",C829)+1,FIND("*",C829)-FIND(" ",C829)-1)*MID(C829,FIND("*",C829)+1,FIND("*",MID(C829,FIND("*",C829)+1,30))-1))/1000000),""),"")</f>
        <v/>
      </c>
      <c r="Q829" s="157"/>
    </row>
    <row r="830" spans="1:19" ht="16.5" customHeight="1" x14ac:dyDescent="0.2">
      <c r="A830" s="38">
        <f>COUNTIF($J$1:J830,"!")</f>
        <v>52</v>
      </c>
      <c r="B830" s="177" t="s">
        <v>107</v>
      </c>
      <c r="C830" s="164"/>
      <c r="D830" s="166"/>
      <c r="E830" s="166"/>
      <c r="F830" s="166"/>
      <c r="G830" s="42"/>
      <c r="H830" s="42"/>
      <c r="I830" s="178">
        <f>SUM(H829:H830)</f>
        <v>33630</v>
      </c>
      <c r="J830" s="168"/>
      <c r="K830" s="169"/>
      <c r="L830" s="170"/>
      <c r="M830" s="171"/>
      <c r="O830" s="174"/>
      <c r="P830" s="162"/>
      <c r="Q830" s="157"/>
    </row>
    <row r="831" spans="1:19" s="161" customFormat="1" ht="16.5" customHeight="1" x14ac:dyDescent="0.2">
      <c r="A831" s="38">
        <f>COUNTIF($J$1:J831,"!")</f>
        <v>52</v>
      </c>
      <c r="B831" s="179" t="s">
        <v>79</v>
      </c>
      <c r="C831" s="164"/>
      <c r="D831" s="166"/>
      <c r="E831" s="166"/>
      <c r="F831" s="166"/>
      <c r="G831" s="42"/>
      <c r="H831" s="42">
        <f>K831*L831</f>
        <v>0</v>
      </c>
      <c r="I831" s="167"/>
      <c r="J831" s="168"/>
      <c r="K831" s="169">
        <f>I830</f>
        <v>33630</v>
      </c>
      <c r="L831" s="279"/>
      <c r="M831" s="171"/>
      <c r="O831" s="181"/>
      <c r="P831" s="162"/>
      <c r="Q831" s="162"/>
    </row>
    <row r="832" spans="1:19" ht="16.5" customHeight="1" x14ac:dyDescent="0.2">
      <c r="A832" s="38">
        <f>COUNTIF($J$1:J832,"!")</f>
        <v>52</v>
      </c>
      <c r="B832" s="179" t="s">
        <v>108</v>
      </c>
      <c r="C832" s="164"/>
      <c r="D832" s="166"/>
      <c r="E832" s="166"/>
      <c r="F832" s="166"/>
      <c r="G832" s="184"/>
      <c r="H832" s="42">
        <f>K832*L832</f>
        <v>0</v>
      </c>
      <c r="I832" s="167"/>
      <c r="J832" s="168"/>
      <c r="K832" s="169">
        <f>H831+K831</f>
        <v>33630</v>
      </c>
      <c r="L832" s="299"/>
      <c r="M832" s="171"/>
      <c r="O832" s="161"/>
      <c r="P832" s="162"/>
      <c r="R832" s="157"/>
      <c r="S832" s="157"/>
    </row>
    <row r="833" spans="1:19" ht="16.5" customHeight="1" x14ac:dyDescent="0.15">
      <c r="A833" s="32">
        <f>COUNTIF($J$1:J833,"!")</f>
        <v>53</v>
      </c>
      <c r="B833" s="33" t="s">
        <v>3042</v>
      </c>
      <c r="C833" s="158" t="s">
        <v>3183</v>
      </c>
      <c r="D833" s="159" t="s">
        <v>3181</v>
      </c>
      <c r="E833" s="34" t="s">
        <v>23</v>
      </c>
      <c r="F833" s="159">
        <v>1</v>
      </c>
      <c r="G833" s="36">
        <f>ROUND(SUM(H834:H850),0)</f>
        <v>11665</v>
      </c>
      <c r="H833" s="160" t="str">
        <f>IF(ISNUMBER(FIND(" ",C834)),MID(C834,1,FIND(" ",C834)-1),IF(ISNUMBER(FIND("电容柜",B833)),"GGJ",MID(C834,1,FIND("-",C834)-1)))</f>
        <v>GGD</v>
      </c>
      <c r="I833" s="47" t="str">
        <f>MID(C834,IF(LEN(C834)-LEN(H833)&gt;3,LEN(H833)+2,1),30)</f>
        <v>800*600*2000</v>
      </c>
      <c r="J833" s="48" t="s">
        <v>24</v>
      </c>
      <c r="K833" s="49"/>
      <c r="L833" s="50"/>
      <c r="M833" s="51"/>
      <c r="O833" s="162"/>
    </row>
    <row r="834" spans="1:19" ht="16.5" customHeight="1" x14ac:dyDescent="0.2">
      <c r="A834" s="38">
        <f>COUNTIF($J$1:J834,"!")</f>
        <v>53</v>
      </c>
      <c r="B834" s="163" t="str">
        <f>IFERROR(VLOOKUP(C834,元件库!$B:$O,3,FALSE),"")</f>
        <v>壳体W*D*H</v>
      </c>
      <c r="C834" s="164" t="s">
        <v>2337</v>
      </c>
      <c r="D834" s="165" t="str">
        <f>IFERROR(VLOOKUP(C834,元件库!$B:$O,2,FALSE),"")</f>
        <v>精益联合集团</v>
      </c>
      <c r="E834" s="166" t="str">
        <f t="shared" ref="E834:E845" si="309">IF(D834="欣利铜材","米",IF(B834="熔断器","套","只"))</f>
        <v>只</v>
      </c>
      <c r="F834" s="166">
        <v>1</v>
      </c>
      <c r="G834" s="42">
        <f t="shared" ref="G834:G845" si="310">IFERROR(J834*K834,"")</f>
        <v>1782.4999999999998</v>
      </c>
      <c r="H834" s="42">
        <f t="shared" ref="H834:H845" si="311">IFERROR(G834*F834,"")</f>
        <v>1782.4999999999998</v>
      </c>
      <c r="I834" s="167"/>
      <c r="J834" s="168">
        <f>P$1</f>
        <v>1</v>
      </c>
      <c r="K834" s="169">
        <f t="shared" ref="K834:K845" si="312">IFERROR(M834*L834,"")</f>
        <v>1782.4999999999998</v>
      </c>
      <c r="L834" s="170">
        <v>1.1499999999999999</v>
      </c>
      <c r="M834" s="171">
        <f>IFERROR(VLOOKUP(C834,元件库!$B:$O,11,FALSE),"")</f>
        <v>1550</v>
      </c>
      <c r="N834" s="172" t="str">
        <f t="shared" ref="N834:N845" ca="1" si="313">IF(AND(ISNUMBER(FIND("IF",_xlfn.FORMULATEXT(L834))),ISNUMBER(FIND("IF",_xlfn.FORMULATEXT(M834)))),"","值")</f>
        <v>值</v>
      </c>
      <c r="O834" s="157" t="str">
        <f>B833</f>
        <v>低压进线柜</v>
      </c>
    </row>
    <row r="835" spans="1:19" s="173" customFormat="1" ht="16.5" customHeight="1" x14ac:dyDescent="0.2">
      <c r="A835" s="38">
        <f>COUNTIF($J$1:J835,"!")</f>
        <v>53</v>
      </c>
      <c r="B835" s="163" t="str">
        <f>IFERROR(VLOOKUP(C835,元件库!$B:$O,3,FALSE),"")</f>
        <v/>
      </c>
      <c r="C835" s="164" t="s">
        <v>3053</v>
      </c>
      <c r="D835" s="165" t="str">
        <f>IFERROR(VLOOKUP(C835,元件库!$B:$O,2,FALSE),"")</f>
        <v/>
      </c>
      <c r="E835" s="166" t="str">
        <f t="shared" si="309"/>
        <v>只</v>
      </c>
      <c r="F835" s="166">
        <v>3</v>
      </c>
      <c r="G835" s="42" t="str">
        <f t="shared" si="310"/>
        <v/>
      </c>
      <c r="H835" s="42" t="str">
        <f t="shared" si="311"/>
        <v/>
      </c>
      <c r="I835" s="167"/>
      <c r="J835" s="168">
        <f t="shared" ref="J835:J845" si="314">P$1</f>
        <v>1</v>
      </c>
      <c r="K835" s="169" t="str">
        <f t="shared" si="312"/>
        <v/>
      </c>
      <c r="L835" s="170" t="str">
        <f>IFERROR(VLOOKUP(C835,元件库!$B:$O,10,FALSE),"1.00")</f>
        <v>1.00</v>
      </c>
      <c r="M835" s="171" t="str">
        <f>IFERROR(VLOOKUP(C835,元件库!$B:$O,11,FALSE),"")</f>
        <v/>
      </c>
      <c r="N835" s="172" t="str">
        <f t="shared" ca="1" si="313"/>
        <v/>
      </c>
      <c r="P835" s="161"/>
    </row>
    <row r="836" spans="1:19" s="173" customFormat="1" ht="16.5" customHeight="1" x14ac:dyDescent="0.2">
      <c r="A836" s="38">
        <f>COUNTIF($J$1:J836,"!")</f>
        <v>53</v>
      </c>
      <c r="B836" s="163" t="str">
        <f>IFERROR(VLOOKUP(C836,元件库!$B:$O,3,FALSE),"")</f>
        <v>刀开关</v>
      </c>
      <c r="C836" s="164" t="s">
        <v>3051</v>
      </c>
      <c r="D836" s="165" t="str">
        <f>IFERROR(VLOOKUP(C836,元件库!$B:$O,2,FALSE),"")</f>
        <v>精益联合集团</v>
      </c>
      <c r="E836" s="166" t="str">
        <f t="shared" si="309"/>
        <v>只</v>
      </c>
      <c r="F836" s="166">
        <v>1</v>
      </c>
      <c r="G836" s="42">
        <f t="shared" si="310"/>
        <v>573.1</v>
      </c>
      <c r="H836" s="42">
        <f t="shared" si="311"/>
        <v>573.1</v>
      </c>
      <c r="I836" s="167"/>
      <c r="J836" s="168">
        <f t="shared" si="314"/>
        <v>1</v>
      </c>
      <c r="K836" s="169">
        <f t="shared" si="312"/>
        <v>573.1</v>
      </c>
      <c r="L836" s="170">
        <f>IFERROR(VLOOKUP(C836,元件库!$B:$O,10,FALSE),"1.00")</f>
        <v>0.55000000000000004</v>
      </c>
      <c r="M836" s="171">
        <f>IFERROR(VLOOKUP(C836,元件库!$B:$O,11,FALSE),"")</f>
        <v>1042</v>
      </c>
      <c r="N836" s="172" t="str">
        <f t="shared" ca="1" si="313"/>
        <v/>
      </c>
      <c r="P836" s="161"/>
    </row>
    <row r="837" spans="1:19" s="173" customFormat="1" ht="16.5" customHeight="1" x14ac:dyDescent="0.2">
      <c r="A837" s="38">
        <f>COUNTIF($J$1:J837,"!")</f>
        <v>53</v>
      </c>
      <c r="B837" s="163" t="str">
        <f>IFERROR(VLOOKUP(C837,元件库!$B:$O,3,FALSE),"")</f>
        <v>框架断路器</v>
      </c>
      <c r="C837" s="164" t="s">
        <v>3171</v>
      </c>
      <c r="D837" s="165" t="str">
        <f>IFERROR(VLOOKUP(C837,元件库!$B:$O,2,FALSE),"")</f>
        <v>吉坤电气</v>
      </c>
      <c r="E837" s="166" t="str">
        <f t="shared" si="309"/>
        <v>只</v>
      </c>
      <c r="F837" s="166">
        <v>1</v>
      </c>
      <c r="G837" s="42">
        <f t="shared" si="310"/>
        <v>3990</v>
      </c>
      <c r="H837" s="42">
        <f t="shared" si="311"/>
        <v>3990</v>
      </c>
      <c r="I837" s="167"/>
      <c r="J837" s="168">
        <f t="shared" si="314"/>
        <v>1</v>
      </c>
      <c r="K837" s="169">
        <f t="shared" si="312"/>
        <v>3990</v>
      </c>
      <c r="L837" s="170">
        <f>IFERROR(VLOOKUP(C837,元件库!$B:$O,10,FALSE),"1.00")</f>
        <v>1</v>
      </c>
      <c r="M837" s="171">
        <f>IFERROR(VLOOKUP(C837,元件库!$B:$O,11,FALSE),"")</f>
        <v>3990</v>
      </c>
      <c r="N837" s="172" t="str">
        <f t="shared" ca="1" si="313"/>
        <v/>
      </c>
      <c r="P837" s="161"/>
    </row>
    <row r="838" spans="1:19" s="173" customFormat="1" ht="16.5" customHeight="1" x14ac:dyDescent="0.2">
      <c r="A838" s="38">
        <f>COUNTIF($J$1:J838,"!")</f>
        <v>53</v>
      </c>
      <c r="B838" s="163" t="str">
        <f>IFERROR(VLOOKUP(C838,元件库!$B:$O,3,FALSE),"")</f>
        <v/>
      </c>
      <c r="C838" s="164" t="s">
        <v>2974</v>
      </c>
      <c r="D838" s="165" t="str">
        <f>IFERROR(VLOOKUP(C838,元件库!$B:$O,2,FALSE),"")</f>
        <v/>
      </c>
      <c r="E838" s="166" t="str">
        <f t="shared" si="309"/>
        <v>只</v>
      </c>
      <c r="F838" s="166">
        <v>3</v>
      </c>
      <c r="G838" s="42" t="str">
        <f t="shared" si="310"/>
        <v/>
      </c>
      <c r="H838" s="42" t="str">
        <f t="shared" si="311"/>
        <v/>
      </c>
      <c r="I838" s="167"/>
      <c r="J838" s="168">
        <f t="shared" si="314"/>
        <v>1</v>
      </c>
      <c r="K838" s="169" t="str">
        <f t="shared" si="312"/>
        <v/>
      </c>
      <c r="L838" s="170" t="str">
        <f>IFERROR(VLOOKUP(C838,元件库!$B:$O,10,FALSE),"1.00")</f>
        <v>1.00</v>
      </c>
      <c r="M838" s="171" t="str">
        <f>IFERROR(VLOOKUP(C838,元件库!$B:$O,11,FALSE),"")</f>
        <v/>
      </c>
      <c r="N838" s="172" t="str">
        <f t="shared" ca="1" si="313"/>
        <v/>
      </c>
      <c r="P838" s="161"/>
    </row>
    <row r="839" spans="1:19" s="173" customFormat="1" ht="16.5" customHeight="1" x14ac:dyDescent="0.2">
      <c r="A839" s="38">
        <f>COUNTIF($J$1:J839,"!")</f>
        <v>53</v>
      </c>
      <c r="B839" s="163" t="str">
        <f>IFERROR(VLOOKUP(C839,元件库!$B:$O,3,FALSE),"")</f>
        <v>电流.电压表</v>
      </c>
      <c r="C839" s="164" t="s">
        <v>1899</v>
      </c>
      <c r="D839" s="165" t="str">
        <f>IFERROR(VLOOKUP(C839,元件库!$B:$O,2,FALSE),"")</f>
        <v>精益联合集团</v>
      </c>
      <c r="E839" s="166" t="str">
        <f t="shared" si="309"/>
        <v>只</v>
      </c>
      <c r="F839" s="166">
        <v>6</v>
      </c>
      <c r="G839" s="42">
        <f t="shared" si="310"/>
        <v>13.750000000000002</v>
      </c>
      <c r="H839" s="42">
        <f t="shared" si="311"/>
        <v>82.500000000000014</v>
      </c>
      <c r="I839" s="167"/>
      <c r="J839" s="168">
        <f t="shared" si="314"/>
        <v>1</v>
      </c>
      <c r="K839" s="169">
        <f t="shared" si="312"/>
        <v>13.750000000000002</v>
      </c>
      <c r="L839" s="170">
        <f>IFERROR(VLOOKUP(C839,元件库!$B:$O,10,FALSE),"1.00")</f>
        <v>0.55000000000000004</v>
      </c>
      <c r="M839" s="171">
        <f>IFERROR(VLOOKUP(C839,元件库!$B:$O,11,FALSE),"")</f>
        <v>25</v>
      </c>
      <c r="N839" s="172" t="str">
        <f t="shared" ca="1" si="313"/>
        <v/>
      </c>
      <c r="P839" s="161"/>
    </row>
    <row r="840" spans="1:19" s="173" customFormat="1" ht="16.5" customHeight="1" x14ac:dyDescent="0.2">
      <c r="A840" s="38">
        <f>COUNTIF($J$1:J840,"!")</f>
        <v>53</v>
      </c>
      <c r="B840" s="163" t="str">
        <f>IFERROR(VLOOKUP(C840,元件库!$B:$O,3,FALSE),"")</f>
        <v>指示灯</v>
      </c>
      <c r="C840" s="164" t="s">
        <v>3044</v>
      </c>
      <c r="D840" s="165" t="str">
        <f>IFERROR(VLOOKUP(C840,元件库!$B:$O,2,FALSE),"")</f>
        <v>精益联合集团</v>
      </c>
      <c r="E840" s="166" t="str">
        <f t="shared" si="309"/>
        <v>只</v>
      </c>
      <c r="F840" s="166">
        <v>3</v>
      </c>
      <c r="G840" s="42">
        <f t="shared" si="310"/>
        <v>2.3100000000000005</v>
      </c>
      <c r="H840" s="42">
        <f t="shared" si="311"/>
        <v>6.9300000000000015</v>
      </c>
      <c r="I840" s="167"/>
      <c r="J840" s="168">
        <f t="shared" si="314"/>
        <v>1</v>
      </c>
      <c r="K840" s="169">
        <f t="shared" si="312"/>
        <v>2.3100000000000005</v>
      </c>
      <c r="L840" s="170">
        <f>IFERROR(VLOOKUP(C840,元件库!$B:$O,10,FALSE),"1.00")</f>
        <v>0.55000000000000004</v>
      </c>
      <c r="M840" s="171">
        <f>IFERROR(VLOOKUP(C840,元件库!$B:$O,11,FALSE),"")</f>
        <v>4.2</v>
      </c>
      <c r="N840" s="172" t="str">
        <f t="shared" ca="1" si="313"/>
        <v/>
      </c>
      <c r="P840" s="161"/>
    </row>
    <row r="841" spans="1:19" s="173" customFormat="1" ht="16.5" customHeight="1" x14ac:dyDescent="0.2">
      <c r="A841" s="38">
        <f>COUNTIF($J$1:J841,"!")</f>
        <v>53</v>
      </c>
      <c r="B841" s="163" t="str">
        <f>IFERROR(VLOOKUP(C841,元件库!$B:$O,3,FALSE),"")</f>
        <v/>
      </c>
      <c r="C841" s="164" t="s">
        <v>3045</v>
      </c>
      <c r="D841" s="165" t="str">
        <f>IFERROR(VLOOKUP(C841,元件库!$B:$O,2,FALSE),"")</f>
        <v/>
      </c>
      <c r="E841" s="166" t="str">
        <f t="shared" si="309"/>
        <v>只</v>
      </c>
      <c r="F841" s="166">
        <v>2</v>
      </c>
      <c r="G841" s="42" t="str">
        <f t="shared" si="310"/>
        <v/>
      </c>
      <c r="H841" s="42" t="str">
        <f t="shared" si="311"/>
        <v/>
      </c>
      <c r="I841" s="167"/>
      <c r="J841" s="168">
        <f t="shared" si="314"/>
        <v>1</v>
      </c>
      <c r="K841" s="169" t="str">
        <f t="shared" si="312"/>
        <v/>
      </c>
      <c r="L841" s="170" t="str">
        <f>IFERROR(VLOOKUP(C841,元件库!$B:$O,10,FALSE),"1.00")</f>
        <v>1.00</v>
      </c>
      <c r="M841" s="171" t="str">
        <f>IFERROR(VLOOKUP(C841,元件库!$B:$O,11,FALSE),"")</f>
        <v/>
      </c>
      <c r="N841" s="172" t="str">
        <f t="shared" ca="1" si="313"/>
        <v/>
      </c>
      <c r="P841" s="161"/>
    </row>
    <row r="842" spans="1:19" s="173" customFormat="1" ht="16.5" customHeight="1" x14ac:dyDescent="0.2">
      <c r="A842" s="38">
        <f>COUNTIF($J$1:J842,"!")</f>
        <v>53</v>
      </c>
      <c r="B842" s="163" t="str">
        <f>IFERROR(VLOOKUP(C842,元件库!$B:$O,3,FALSE),"")</f>
        <v>铜排</v>
      </c>
      <c r="C842" s="164" t="s">
        <v>1889</v>
      </c>
      <c r="D842" s="165" t="str">
        <f>IFERROR(VLOOKUP(C842,元件库!$B:$O,2,FALSE),"")</f>
        <v>欣利铜材</v>
      </c>
      <c r="E842" s="166" t="str">
        <f t="shared" si="309"/>
        <v>米</v>
      </c>
      <c r="F842" s="166">
        <v>11</v>
      </c>
      <c r="G842" s="42">
        <f t="shared" si="310"/>
        <v>182.62799999999999</v>
      </c>
      <c r="H842" s="42">
        <f t="shared" si="311"/>
        <v>2008.9079999999999</v>
      </c>
      <c r="I842" s="167"/>
      <c r="J842" s="168">
        <f t="shared" si="314"/>
        <v>1</v>
      </c>
      <c r="K842" s="169">
        <f t="shared" si="312"/>
        <v>182.62799999999999</v>
      </c>
      <c r="L842" s="170">
        <f>IFERROR(VLOOKUP(C842,元件库!$B:$O,10,FALSE),"1.00")</f>
        <v>1</v>
      </c>
      <c r="M842" s="171">
        <f>IFERROR(VLOOKUP(C842,元件库!$B:$O,11,FALSE),"")</f>
        <v>182.62799999999999</v>
      </c>
      <c r="N842" s="172" t="str">
        <f t="shared" ca="1" si="313"/>
        <v/>
      </c>
      <c r="P842" s="161"/>
    </row>
    <row r="843" spans="1:19" s="175" customFormat="1" ht="16.5" customHeight="1" x14ac:dyDescent="0.2">
      <c r="A843" s="38">
        <f>COUNTIF($J$1:J843,"!")</f>
        <v>53</v>
      </c>
      <c r="B843" s="163" t="s">
        <v>2171</v>
      </c>
      <c r="C843" s="164" t="s">
        <v>1889</v>
      </c>
      <c r="D843" s="165" t="str">
        <f>IFERROR(VLOOKUP(C843,元件库!$B:$O,2,FALSE),"")</f>
        <v>欣利铜材</v>
      </c>
      <c r="E843" s="166" t="str">
        <f t="shared" si="309"/>
        <v>米</v>
      </c>
      <c r="F843" s="166">
        <f>1*(MID(O843,FIND("-",O843)+1,FIND("*",O843)-FIND("-",O843)-1)/1000*IF(B843="水平排",3,1))</f>
        <v>2.4000000000000004</v>
      </c>
      <c r="G843" s="42">
        <f t="shared" si="310"/>
        <v>182.62799999999999</v>
      </c>
      <c r="H843" s="42">
        <f t="shared" si="311"/>
        <v>438.30720000000002</v>
      </c>
      <c r="I843" s="167"/>
      <c r="J843" s="168">
        <f t="shared" si="314"/>
        <v>1</v>
      </c>
      <c r="K843" s="169">
        <f t="shared" si="312"/>
        <v>182.62799999999999</v>
      </c>
      <c r="L843" s="170">
        <f>IFERROR(VLOOKUP(C843,元件库!$B:$O,10,FALSE),"1.00")</f>
        <v>1</v>
      </c>
      <c r="M843" s="171">
        <f>IFERROR(VLOOKUP(C843,元件库!$B:$O,11,FALSE),"")</f>
        <v>182.62799999999999</v>
      </c>
      <c r="N843" s="172" t="str">
        <f t="shared" ca="1" si="313"/>
        <v/>
      </c>
      <c r="O843" s="174" t="str">
        <f>O847</f>
        <v>GGD-800*600*2000</v>
      </c>
    </row>
    <row r="844" spans="1:19" s="175" customFormat="1" ht="16.5" customHeight="1" x14ac:dyDescent="0.2">
      <c r="A844" s="38">
        <f>COUNTIF($J$1:J844,"!")</f>
        <v>53</v>
      </c>
      <c r="B844" s="163" t="s">
        <v>2725</v>
      </c>
      <c r="C844" s="164" t="s">
        <v>2326</v>
      </c>
      <c r="D844" s="165" t="str">
        <f>IFERROR(VLOOKUP(C844,元件库!$B:$O,2,FALSE),"")</f>
        <v>欣利铜材</v>
      </c>
      <c r="E844" s="166" t="str">
        <f t="shared" si="309"/>
        <v>米</v>
      </c>
      <c r="F844" s="166">
        <f>1*(MID(O844,FIND("-",O844)+1,FIND("*",O844)-FIND("-",O844)-1)/1000*IF(B844="水平排",3,1))</f>
        <v>0.8</v>
      </c>
      <c r="G844" s="42">
        <f t="shared" si="310"/>
        <v>81.167999999999992</v>
      </c>
      <c r="H844" s="42">
        <f t="shared" si="311"/>
        <v>64.934399999999997</v>
      </c>
      <c r="I844" s="167"/>
      <c r="J844" s="168">
        <f t="shared" si="314"/>
        <v>1</v>
      </c>
      <c r="K844" s="169">
        <f t="shared" si="312"/>
        <v>81.167999999999992</v>
      </c>
      <c r="L844" s="170">
        <f>IFERROR(VLOOKUP(C844,元件库!$B:$O,10,FALSE),"1.00")</f>
        <v>1</v>
      </c>
      <c r="M844" s="171">
        <f>IFERROR(VLOOKUP(C844,元件库!$B:$O,11,FALSE),"")</f>
        <v>81.167999999999992</v>
      </c>
      <c r="N844" s="172" t="str">
        <f t="shared" ca="1" si="313"/>
        <v/>
      </c>
      <c r="O844" s="176" t="str">
        <f>O847</f>
        <v>GGD-800*600*2000</v>
      </c>
    </row>
    <row r="845" spans="1:19" s="175" customFormat="1" ht="16.5" customHeight="1" x14ac:dyDescent="0.2">
      <c r="A845" s="38">
        <f>COUNTIF($J$1:J845,"!")</f>
        <v>53</v>
      </c>
      <c r="B845" s="163" t="s">
        <v>2172</v>
      </c>
      <c r="C845" s="164" t="s">
        <v>2326</v>
      </c>
      <c r="D845" s="165" t="str">
        <f>IFERROR(VLOOKUP(C845,元件库!$B:$O,2,FALSE),"")</f>
        <v>欣利铜材</v>
      </c>
      <c r="E845" s="166" t="str">
        <f t="shared" si="309"/>
        <v>米</v>
      </c>
      <c r="F845" s="166">
        <f>1*(MID(O845,FIND("-",O845)+1,FIND("*",O845)-FIND("-",O845)-1)/1000*IF(B845="水平排",3,1))</f>
        <v>0.8</v>
      </c>
      <c r="G845" s="42">
        <f t="shared" si="310"/>
        <v>81.167999999999992</v>
      </c>
      <c r="H845" s="42">
        <f t="shared" si="311"/>
        <v>64.934399999999997</v>
      </c>
      <c r="I845" s="167"/>
      <c r="J845" s="168">
        <f t="shared" si="314"/>
        <v>1</v>
      </c>
      <c r="K845" s="169">
        <f t="shared" si="312"/>
        <v>81.167999999999992</v>
      </c>
      <c r="L845" s="170">
        <f>IFERROR(VLOOKUP(C845,元件库!$B:$O,10,FALSE),"1.00")</f>
        <v>1</v>
      </c>
      <c r="M845" s="171">
        <f>IFERROR(VLOOKUP(C845,元件库!$B:$O,11,FALSE),"")</f>
        <v>81.167999999999992</v>
      </c>
      <c r="N845" s="172" t="str">
        <f t="shared" ca="1" si="313"/>
        <v/>
      </c>
      <c r="O845" s="176" t="str">
        <f>O847</f>
        <v>GGD-800*600*2000</v>
      </c>
    </row>
    <row r="846" spans="1:19" ht="16.5" customHeight="1" x14ac:dyDescent="0.2">
      <c r="A846" s="38">
        <f>COUNTIF($J$1:J846,"!")</f>
        <v>53</v>
      </c>
      <c r="B846" s="177" t="s">
        <v>107</v>
      </c>
      <c r="C846" s="164"/>
      <c r="D846" s="166"/>
      <c r="E846" s="166"/>
      <c r="F846" s="166"/>
      <c r="G846" s="42"/>
      <c r="H846" s="42"/>
      <c r="I846" s="178">
        <f>SUM(H834:H846)</f>
        <v>9012.1139999999996</v>
      </c>
      <c r="J846" s="168"/>
      <c r="K846" s="169"/>
      <c r="L846" s="170"/>
      <c r="M846" s="171"/>
      <c r="O846" s="174"/>
      <c r="P846" s="162"/>
    </row>
    <row r="847" spans="1:19" ht="16.5" customHeight="1" x14ac:dyDescent="0.2">
      <c r="A847" s="38">
        <f>COUNTIF($J$1:J847,"!")</f>
        <v>53</v>
      </c>
      <c r="B847" s="179" t="s">
        <v>47</v>
      </c>
      <c r="C847" s="164"/>
      <c r="D847" s="166"/>
      <c r="E847" s="166"/>
      <c r="F847" s="166"/>
      <c r="G847" s="42"/>
      <c r="H847" s="42">
        <f>IFERROR(J847*K847,"")</f>
        <v>800</v>
      </c>
      <c r="I847" s="167"/>
      <c r="J847" s="168">
        <f>P$1</f>
        <v>1</v>
      </c>
      <c r="K847" s="169">
        <f>L847*M847</f>
        <v>800</v>
      </c>
      <c r="L847" s="170" t="str">
        <f>IFERROR(VLOOKUP(C847,元件库!$B:$O,10,FALSE),"1.00")</f>
        <v>1.00</v>
      </c>
      <c r="M847" s="171">
        <f>IF(B847="成套费",IF(ISNUMBER(FIND("GGD",O847)),800,IF(OR(ISNUMBER(FIND("GCS",O847)),ISNUMBER(FIND("GCK",O847)),ISNUMBER(FIND("MNS",O847))),1000,"")),IF(B847="辅件费",IF(VLOOKUP(A848,A$1:B847,2,FALSE)="低压电容柜",500,300),""))</f>
        <v>800</v>
      </c>
      <c r="O847" s="180" t="str">
        <f>C834</f>
        <v>GGD-800*600*2000</v>
      </c>
    </row>
    <row r="848" spans="1:19" s="161" customFormat="1" ht="16.5" customHeight="1" x14ac:dyDescent="0.2">
      <c r="A848" s="38">
        <f>COUNTIF($J$1:J848,"!")</f>
        <v>53</v>
      </c>
      <c r="B848" s="179" t="s">
        <v>49</v>
      </c>
      <c r="C848" s="164"/>
      <c r="D848" s="166"/>
      <c r="E848" s="166"/>
      <c r="F848" s="166"/>
      <c r="G848" s="42"/>
      <c r="H848" s="42">
        <f>IFERROR(J848*K848,"")</f>
        <v>300</v>
      </c>
      <c r="I848" s="167"/>
      <c r="J848" s="168">
        <f>P$1</f>
        <v>1</v>
      </c>
      <c r="K848" s="169">
        <f>L848*M848</f>
        <v>300</v>
      </c>
      <c r="L848" s="170" t="str">
        <f>IFERROR(VLOOKUP(C848,元件库!$B:$O,10,FALSE),"1.00")</f>
        <v>1.00</v>
      </c>
      <c r="M848" s="171">
        <f>IF(B848="成套费",IF(ISNUMBER(FIND("GGD",O848)),800,IF(OR(ISNUMBER(FIND("GCS",O848)),ISNUMBER(FIND("GCK",O848)),ISNUMBER(FIND("MNS",O848))),1000,"")),IF(B848="辅件费",IF(VLOOKUP(A848,A$1:B848,2,FALSE)="低压电容柜",500,300),""))</f>
        <v>300</v>
      </c>
      <c r="N848" s="181"/>
      <c r="O848" s="182" t="str">
        <f>O847</f>
        <v>GGD-800*600*2000</v>
      </c>
      <c r="R848" s="162"/>
      <c r="S848" s="162"/>
    </row>
    <row r="849" spans="1:23" s="161" customFormat="1" ht="16.5" customHeight="1" x14ac:dyDescent="0.2">
      <c r="A849" s="38">
        <f>COUNTIF($J$1:J849,"!")</f>
        <v>53</v>
      </c>
      <c r="B849" s="179" t="s">
        <v>79</v>
      </c>
      <c r="C849" s="164"/>
      <c r="D849" s="166"/>
      <c r="E849" s="166"/>
      <c r="F849" s="166"/>
      <c r="G849" s="42"/>
      <c r="H849" s="42">
        <f>K849*L849</f>
        <v>1213.4536799999998</v>
      </c>
      <c r="I849" s="167"/>
      <c r="J849" s="168"/>
      <c r="K849" s="169">
        <f>SUM(H846:H848)+I846</f>
        <v>10112.114</v>
      </c>
      <c r="L849" s="279">
        <f>R$1</f>
        <v>0.12</v>
      </c>
      <c r="M849" s="171"/>
      <c r="N849" s="181"/>
      <c r="O849" s="162"/>
      <c r="R849" s="162"/>
      <c r="S849" s="162"/>
    </row>
    <row r="850" spans="1:23" s="162" customFormat="1" ht="16.5" customHeight="1" x14ac:dyDescent="0.2">
      <c r="A850" s="38">
        <f>COUNTIF($J$1:J850,"!")</f>
        <v>53</v>
      </c>
      <c r="B850" s="179" t="s">
        <v>108</v>
      </c>
      <c r="C850" s="164"/>
      <c r="D850" s="166"/>
      <c r="E850" s="166"/>
      <c r="F850" s="166"/>
      <c r="G850" s="184"/>
      <c r="H850" s="42">
        <f>K850*L850</f>
        <v>339.76703040000001</v>
      </c>
      <c r="I850" s="167"/>
      <c r="J850" s="168"/>
      <c r="K850" s="169">
        <f>H849+K849</f>
        <v>11325.56768</v>
      </c>
      <c r="L850" s="279">
        <f>T$1</f>
        <v>0.03</v>
      </c>
      <c r="M850" s="171"/>
      <c r="N850" s="161"/>
      <c r="P850" s="161"/>
      <c r="T850" s="157"/>
      <c r="U850" s="157"/>
      <c r="V850" s="157"/>
      <c r="W850" s="157"/>
    </row>
    <row r="851" spans="1:23" s="162" customFormat="1" ht="16.5" customHeight="1" x14ac:dyDescent="0.15">
      <c r="A851" s="32">
        <f>COUNTIF($J$1:J851,"!")</f>
        <v>54</v>
      </c>
      <c r="B851" s="33" t="s">
        <v>3046</v>
      </c>
      <c r="C851" s="158" t="s">
        <v>3184</v>
      </c>
      <c r="D851" s="159" t="s">
        <v>3181</v>
      </c>
      <c r="E851" s="34" t="s">
        <v>23</v>
      </c>
      <c r="F851" s="159">
        <v>1</v>
      </c>
      <c r="G851" s="36">
        <f>ROUND(SUM(H852:H868),0)</f>
        <v>9117</v>
      </c>
      <c r="H851" s="160" t="str">
        <f>IF(ISNUMBER(FIND(" ",C852)),MID(C852,1,FIND(" ",C852)-1),IF(ISNUMBER(FIND("电容柜",B851)),"GGJ",MID(C852,1,FIND("-",C852)-1)))</f>
        <v>GGJ</v>
      </c>
      <c r="I851" s="47" t="str">
        <f>MID(C852,IF(LEN(C852)-LEN(H851)&gt;3,LEN(H851)+2,1),30)</f>
        <v>800*600*2000</v>
      </c>
      <c r="J851" s="48" t="s">
        <v>24</v>
      </c>
      <c r="K851" s="49"/>
      <c r="L851" s="50"/>
      <c r="M851" s="51"/>
      <c r="N851" s="161"/>
      <c r="P851" s="161"/>
      <c r="T851" s="157"/>
      <c r="U851" s="157"/>
      <c r="V851" s="157"/>
      <c r="W851" s="157"/>
    </row>
    <row r="852" spans="1:23" s="162" customFormat="1" ht="16.5" customHeight="1" x14ac:dyDescent="0.2">
      <c r="A852" s="38">
        <f>COUNTIF($J$1:J852,"!")</f>
        <v>54</v>
      </c>
      <c r="B852" s="163" t="str">
        <f>IFERROR(VLOOKUP(C852,元件库!$B:$O,3,FALSE),"")</f>
        <v>壳体W*D*H</v>
      </c>
      <c r="C852" s="164" t="s">
        <v>2337</v>
      </c>
      <c r="D852" s="165" t="str">
        <f>IFERROR(VLOOKUP(C852,元件库!$B:$O,2,FALSE),"")</f>
        <v>精益联合集团</v>
      </c>
      <c r="E852" s="166" t="str">
        <f t="shared" ref="E852:E863" si="315">IF(D852="欣利铜材","米",IF(B852="熔断器","套","只"))</f>
        <v>只</v>
      </c>
      <c r="F852" s="166">
        <v>1</v>
      </c>
      <c r="G852" s="42">
        <f t="shared" ref="G852:G863" si="316">IFERROR(J852*K852,"")</f>
        <v>1550</v>
      </c>
      <c r="H852" s="42">
        <f t="shared" ref="H852:H863" si="317">IFERROR(G852*F852,"")</f>
        <v>1550</v>
      </c>
      <c r="I852" s="167"/>
      <c r="J852" s="168">
        <f>P$1</f>
        <v>1</v>
      </c>
      <c r="K852" s="169">
        <f t="shared" ref="K852:K863" si="318">IFERROR(M852*L852,"")</f>
        <v>1550</v>
      </c>
      <c r="L852" s="170">
        <f>IFERROR(VLOOKUP(C852,元件库!$B:$O,10,FALSE),"1.00")</f>
        <v>1</v>
      </c>
      <c r="M852" s="171">
        <f>IFERROR(VLOOKUP(C852,元件库!$B:$O,11,FALSE),"")</f>
        <v>1550</v>
      </c>
      <c r="N852" s="172" t="str">
        <f t="shared" ref="N852:N863" ca="1" si="319">IF(AND(ISNUMBER(FIND("IF",_xlfn.FORMULATEXT(L852))),ISNUMBER(FIND("IF",_xlfn.FORMULATEXT(M852)))),"","值")</f>
        <v/>
      </c>
      <c r="O852" s="157" t="str">
        <f>B851</f>
        <v>低压电容柜</v>
      </c>
      <c r="P852" s="161"/>
      <c r="T852" s="157"/>
      <c r="U852" s="157"/>
      <c r="V852" s="157"/>
      <c r="W852" s="157"/>
    </row>
    <row r="853" spans="1:23" s="173" customFormat="1" ht="16.5" customHeight="1" x14ac:dyDescent="0.2">
      <c r="A853" s="38">
        <f>COUNTIF($J$1:J853,"!")</f>
        <v>54</v>
      </c>
      <c r="B853" s="163" t="str">
        <f>IFERROR(VLOOKUP(C853,元件库!$B:$O,3,FALSE),"")</f>
        <v>刀开关</v>
      </c>
      <c r="C853" s="164" t="s">
        <v>2849</v>
      </c>
      <c r="D853" s="165" t="str">
        <f>IFERROR(VLOOKUP(C853,元件库!$B:$O,2,FALSE),"")</f>
        <v>精益联合集团</v>
      </c>
      <c r="E853" s="166" t="str">
        <f t="shared" si="315"/>
        <v>只</v>
      </c>
      <c r="F853" s="166">
        <v>1</v>
      </c>
      <c r="G853" s="42">
        <f t="shared" si="316"/>
        <v>192.50000000000003</v>
      </c>
      <c r="H853" s="42">
        <f t="shared" si="317"/>
        <v>192.50000000000003</v>
      </c>
      <c r="I853" s="167"/>
      <c r="J853" s="168">
        <f t="shared" ref="J853:J863" si="320">P$1</f>
        <v>1</v>
      </c>
      <c r="K853" s="169">
        <f t="shared" si="318"/>
        <v>192.50000000000003</v>
      </c>
      <c r="L853" s="170">
        <f>IFERROR(VLOOKUP(C853,元件库!$B:$O,10,FALSE),"1.00")</f>
        <v>0.55000000000000004</v>
      </c>
      <c r="M853" s="171">
        <f>IFERROR(VLOOKUP(C853,元件库!$B:$O,11,FALSE),"")</f>
        <v>350</v>
      </c>
      <c r="N853" s="172" t="str">
        <f t="shared" ca="1" si="319"/>
        <v/>
      </c>
      <c r="P853" s="161"/>
    </row>
    <row r="854" spans="1:23" s="173" customFormat="1" ht="16.5" customHeight="1" x14ac:dyDescent="0.2">
      <c r="A854" s="38">
        <f>COUNTIF($J$1:J854,"!")</f>
        <v>54</v>
      </c>
      <c r="B854" s="163" t="str">
        <f>IFERROR(VLOOKUP(C854,元件库!$B:$O,3,FALSE),"")</f>
        <v/>
      </c>
      <c r="C854" s="164" t="s">
        <v>3128</v>
      </c>
      <c r="D854" s="165" t="str">
        <f>IFERROR(VLOOKUP(C854,元件库!$B:$O,2,FALSE),"")</f>
        <v/>
      </c>
      <c r="E854" s="166" t="str">
        <f t="shared" si="315"/>
        <v>只</v>
      </c>
      <c r="F854" s="166">
        <v>3</v>
      </c>
      <c r="G854" s="42" t="str">
        <f t="shared" si="316"/>
        <v/>
      </c>
      <c r="H854" s="42" t="str">
        <f t="shared" si="317"/>
        <v/>
      </c>
      <c r="I854" s="167"/>
      <c r="J854" s="168">
        <f t="shared" si="320"/>
        <v>1</v>
      </c>
      <c r="K854" s="169" t="str">
        <f t="shared" si="318"/>
        <v/>
      </c>
      <c r="L854" s="170" t="str">
        <f>IFERROR(VLOOKUP(C854,元件库!$B:$O,10,FALSE),"1.00")</f>
        <v>1.00</v>
      </c>
      <c r="M854" s="171" t="str">
        <f>IFERROR(VLOOKUP(C854,元件库!$B:$O,11,FALSE),"")</f>
        <v/>
      </c>
      <c r="N854" s="172" t="str">
        <f t="shared" ca="1" si="319"/>
        <v/>
      </c>
      <c r="P854" s="161"/>
    </row>
    <row r="855" spans="1:23" s="173" customFormat="1" ht="16.5" customHeight="1" x14ac:dyDescent="0.2">
      <c r="A855" s="38">
        <f>COUNTIF($J$1:J855,"!")</f>
        <v>54</v>
      </c>
      <c r="B855" s="163" t="str">
        <f>IFERROR(VLOOKUP(C855,元件库!$B:$O,3,FALSE),"")</f>
        <v>电流.电压表</v>
      </c>
      <c r="C855" s="164" t="s">
        <v>1899</v>
      </c>
      <c r="D855" s="165" t="str">
        <f>IFERROR(VLOOKUP(C855,元件库!$B:$O,2,FALSE),"")</f>
        <v>精益联合集团</v>
      </c>
      <c r="E855" s="166" t="str">
        <f t="shared" si="315"/>
        <v>只</v>
      </c>
      <c r="F855" s="166">
        <v>6</v>
      </c>
      <c r="G855" s="42">
        <f t="shared" si="316"/>
        <v>13.750000000000002</v>
      </c>
      <c r="H855" s="42">
        <f t="shared" si="317"/>
        <v>82.500000000000014</v>
      </c>
      <c r="I855" s="167"/>
      <c r="J855" s="168">
        <f t="shared" si="320"/>
        <v>1</v>
      </c>
      <c r="K855" s="169">
        <f t="shared" si="318"/>
        <v>13.750000000000002</v>
      </c>
      <c r="L855" s="170">
        <f>IFERROR(VLOOKUP(C855,元件库!$B:$O,10,FALSE),"1.00")</f>
        <v>0.55000000000000004</v>
      </c>
      <c r="M855" s="171">
        <f>IFERROR(VLOOKUP(C855,元件库!$B:$O,11,FALSE),"")</f>
        <v>25</v>
      </c>
      <c r="N855" s="172" t="str">
        <f t="shared" ca="1" si="319"/>
        <v/>
      </c>
      <c r="P855" s="161"/>
    </row>
    <row r="856" spans="1:23" s="173" customFormat="1" ht="16.5" customHeight="1" x14ac:dyDescent="0.2">
      <c r="A856" s="38">
        <f>COUNTIF($J$1:J856,"!")</f>
        <v>54</v>
      </c>
      <c r="B856" s="163" t="str">
        <f>IFERROR(VLOOKUP(C856,元件库!$B:$O,3,FALSE),"")</f>
        <v>氧化锌避雷器</v>
      </c>
      <c r="C856" s="164" t="s">
        <v>3048</v>
      </c>
      <c r="D856" s="165" t="str">
        <f>IFERROR(VLOOKUP(C856,元件库!$B:$O,2,FALSE),"")</f>
        <v>精益联合集团</v>
      </c>
      <c r="E856" s="166" t="str">
        <f t="shared" si="315"/>
        <v>只</v>
      </c>
      <c r="F856" s="166">
        <v>3</v>
      </c>
      <c r="G856" s="42">
        <f t="shared" si="316"/>
        <v>9.9</v>
      </c>
      <c r="H856" s="42">
        <f t="shared" si="317"/>
        <v>29.700000000000003</v>
      </c>
      <c r="I856" s="167"/>
      <c r="J856" s="168">
        <f t="shared" si="320"/>
        <v>1</v>
      </c>
      <c r="K856" s="169">
        <f t="shared" si="318"/>
        <v>9.9</v>
      </c>
      <c r="L856" s="170">
        <f>IFERROR(VLOOKUP(C856,元件库!$B:$O,10,FALSE),"1.00")</f>
        <v>0.55000000000000004</v>
      </c>
      <c r="M856" s="171">
        <f>IFERROR(VLOOKUP(C856,元件库!$B:$O,11,FALSE),"")</f>
        <v>18</v>
      </c>
      <c r="N856" s="172" t="str">
        <f t="shared" ca="1" si="319"/>
        <v/>
      </c>
      <c r="P856" s="161"/>
    </row>
    <row r="857" spans="1:23" s="173" customFormat="1" ht="16.5" customHeight="1" x14ac:dyDescent="0.2">
      <c r="A857" s="38">
        <f>COUNTIF($J$1:J857,"!")</f>
        <v>54</v>
      </c>
      <c r="B857" s="163" t="str">
        <f>IFERROR(VLOOKUP(C857,元件库!$B:$O,3,FALSE),"")</f>
        <v>智能电容器</v>
      </c>
      <c r="C857" s="164" t="s">
        <v>3149</v>
      </c>
      <c r="D857" s="165" t="str">
        <f>IFERROR(VLOOKUP(C857,元件库!$B:$O,2,FALSE),"")</f>
        <v>九康电气</v>
      </c>
      <c r="E857" s="166" t="str">
        <f t="shared" si="315"/>
        <v>只</v>
      </c>
      <c r="F857" s="166">
        <v>5</v>
      </c>
      <c r="G857" s="42">
        <f t="shared" si="316"/>
        <v>715</v>
      </c>
      <c r="H857" s="42">
        <f t="shared" si="317"/>
        <v>3575</v>
      </c>
      <c r="I857" s="167"/>
      <c r="J857" s="168">
        <f t="shared" si="320"/>
        <v>1</v>
      </c>
      <c r="K857" s="169">
        <f t="shared" si="318"/>
        <v>715</v>
      </c>
      <c r="L857" s="170">
        <f>IFERROR(VLOOKUP(C857,元件库!$B:$O,10,FALSE),"1.00")</f>
        <v>1</v>
      </c>
      <c r="M857" s="171">
        <f>IFERROR(VLOOKUP(C857,元件库!$B:$O,11,FALSE),"")</f>
        <v>715</v>
      </c>
      <c r="N857" s="172" t="str">
        <f t="shared" ca="1" si="319"/>
        <v/>
      </c>
      <c r="P857" s="161"/>
    </row>
    <row r="858" spans="1:23" s="173" customFormat="1" ht="16.5" customHeight="1" x14ac:dyDescent="0.2">
      <c r="A858" s="38">
        <f>COUNTIF($J$1:J858,"!")</f>
        <v>54</v>
      </c>
      <c r="B858" s="163" t="str">
        <f>IFERROR(VLOOKUP(C858,元件库!$B:$O,3,FALSE),"")</f>
        <v>补偿控制器</v>
      </c>
      <c r="C858" s="164" t="s">
        <v>3129</v>
      </c>
      <c r="D858" s="165" t="str">
        <f>IFERROR(VLOOKUP(C858,元件库!$B:$O,2,FALSE),"")</f>
        <v>九康电气</v>
      </c>
      <c r="E858" s="166" t="str">
        <f t="shared" si="315"/>
        <v>只</v>
      </c>
      <c r="F858" s="166">
        <v>1</v>
      </c>
      <c r="G858" s="42">
        <f t="shared" si="316"/>
        <v>320</v>
      </c>
      <c r="H858" s="42">
        <f t="shared" si="317"/>
        <v>320</v>
      </c>
      <c r="I858" s="167"/>
      <c r="J858" s="168">
        <f t="shared" si="320"/>
        <v>1</v>
      </c>
      <c r="K858" s="169">
        <f t="shared" si="318"/>
        <v>320</v>
      </c>
      <c r="L858" s="170">
        <f>IFERROR(VLOOKUP(C858,元件库!$B:$O,10,FALSE),"1.00")</f>
        <v>1</v>
      </c>
      <c r="M858" s="171">
        <f>IFERROR(VLOOKUP(C858,元件库!$B:$O,11,FALSE),"")</f>
        <v>320</v>
      </c>
      <c r="N858" s="172" t="str">
        <f t="shared" ca="1" si="319"/>
        <v/>
      </c>
      <c r="P858" s="161"/>
    </row>
    <row r="859" spans="1:23" s="173" customFormat="1" ht="16.5" customHeight="1" x14ac:dyDescent="0.2">
      <c r="A859" s="38">
        <f>COUNTIF($J$1:J859,"!")</f>
        <v>54</v>
      </c>
      <c r="B859" s="163" t="str">
        <f>IFERROR(VLOOKUP(C859,元件库!$B:$O,3,FALSE),"")</f>
        <v>指示灯</v>
      </c>
      <c r="C859" s="164" t="s">
        <v>3044</v>
      </c>
      <c r="D859" s="165" t="str">
        <f>IFERROR(VLOOKUP(C859,元件库!$B:$O,2,FALSE),"")</f>
        <v>精益联合集团</v>
      </c>
      <c r="E859" s="166" t="str">
        <f t="shared" si="315"/>
        <v>只</v>
      </c>
      <c r="F859" s="166">
        <v>5</v>
      </c>
      <c r="G859" s="42">
        <f t="shared" si="316"/>
        <v>2.3100000000000005</v>
      </c>
      <c r="H859" s="42">
        <f t="shared" si="317"/>
        <v>11.550000000000002</v>
      </c>
      <c r="I859" s="167"/>
      <c r="J859" s="168">
        <f t="shared" si="320"/>
        <v>1</v>
      </c>
      <c r="K859" s="169">
        <f t="shared" si="318"/>
        <v>2.3100000000000005</v>
      </c>
      <c r="L859" s="170">
        <f>IFERROR(VLOOKUP(C859,元件库!$B:$O,10,FALSE),"1.00")</f>
        <v>0.55000000000000004</v>
      </c>
      <c r="M859" s="171">
        <f>IFERROR(VLOOKUP(C859,元件库!$B:$O,11,FALSE),"")</f>
        <v>4.2</v>
      </c>
      <c r="N859" s="172" t="str">
        <f t="shared" ca="1" si="319"/>
        <v/>
      </c>
      <c r="P859" s="161"/>
    </row>
    <row r="860" spans="1:23" s="173" customFormat="1" ht="16.5" customHeight="1" x14ac:dyDescent="0.2">
      <c r="A860" s="38">
        <f>COUNTIF($J$1:J860,"!")</f>
        <v>54</v>
      </c>
      <c r="B860" s="163" t="str">
        <f>IFERROR(VLOOKUP(C860,元件库!$B:$O,3,FALSE),"")</f>
        <v>铜排</v>
      </c>
      <c r="C860" s="164" t="s">
        <v>1910</v>
      </c>
      <c r="D860" s="165" t="str">
        <f>IFERROR(VLOOKUP(C860,元件库!$B:$O,2,FALSE),"")</f>
        <v>欣利铜材</v>
      </c>
      <c r="E860" s="166" t="str">
        <f t="shared" si="315"/>
        <v>米</v>
      </c>
      <c r="F860" s="166">
        <v>6</v>
      </c>
      <c r="G860" s="42">
        <f t="shared" si="316"/>
        <v>45.656999999999996</v>
      </c>
      <c r="H860" s="42">
        <f t="shared" si="317"/>
        <v>273.94200000000001</v>
      </c>
      <c r="I860" s="167"/>
      <c r="J860" s="168">
        <f t="shared" si="320"/>
        <v>1</v>
      </c>
      <c r="K860" s="169">
        <f t="shared" si="318"/>
        <v>45.656999999999996</v>
      </c>
      <c r="L860" s="170">
        <f>IFERROR(VLOOKUP(C860,元件库!$B:$O,10,FALSE),"1.00")</f>
        <v>1</v>
      </c>
      <c r="M860" s="171">
        <f>IFERROR(VLOOKUP(C860,元件库!$B:$O,11,FALSE),"")</f>
        <v>45.656999999999996</v>
      </c>
      <c r="N860" s="172" t="str">
        <f t="shared" ca="1" si="319"/>
        <v/>
      </c>
      <c r="P860" s="161"/>
    </row>
    <row r="861" spans="1:23" s="175" customFormat="1" ht="16.5" customHeight="1" x14ac:dyDescent="0.2">
      <c r="A861" s="38">
        <f>COUNTIF($J$1:J861,"!")</f>
        <v>54</v>
      </c>
      <c r="B861" s="163" t="s">
        <v>2171</v>
      </c>
      <c r="C861" s="164" t="s">
        <v>1889</v>
      </c>
      <c r="D861" s="165" t="str">
        <f>IFERROR(VLOOKUP(C861,元件库!$B:$O,2,FALSE),"")</f>
        <v>欣利铜材</v>
      </c>
      <c r="E861" s="166" t="str">
        <f t="shared" si="315"/>
        <v>米</v>
      </c>
      <c r="F861" s="166">
        <f>1*(MID(O861,FIND("-",O861)+1,FIND("*",O861)-FIND("-",O861)-1)/1000*IF(B861="水平排",3,1))</f>
        <v>2.4000000000000004</v>
      </c>
      <c r="G861" s="42">
        <f t="shared" si="316"/>
        <v>182.62799999999999</v>
      </c>
      <c r="H861" s="42">
        <f t="shared" si="317"/>
        <v>438.30720000000002</v>
      </c>
      <c r="I861" s="167"/>
      <c r="J861" s="168">
        <f t="shared" si="320"/>
        <v>1</v>
      </c>
      <c r="K861" s="169">
        <f t="shared" si="318"/>
        <v>182.62799999999999</v>
      </c>
      <c r="L861" s="170">
        <f>IFERROR(VLOOKUP(C861,元件库!$B:$O,10,FALSE),"1.00")</f>
        <v>1</v>
      </c>
      <c r="M861" s="171">
        <f>IFERROR(VLOOKUP(C861,元件库!$B:$O,11,FALSE),"")</f>
        <v>182.62799999999999</v>
      </c>
      <c r="N861" s="172" t="str">
        <f t="shared" ca="1" si="319"/>
        <v/>
      </c>
      <c r="O861" s="174" t="str">
        <f>O865</f>
        <v>GGD-800*600*2000</v>
      </c>
    </row>
    <row r="862" spans="1:23" s="175" customFormat="1" ht="16.5" customHeight="1" x14ac:dyDescent="0.2">
      <c r="A862" s="38">
        <f>COUNTIF($J$1:J862,"!")</f>
        <v>54</v>
      </c>
      <c r="B862" s="163" t="s">
        <v>2725</v>
      </c>
      <c r="C862" s="164" t="s">
        <v>2326</v>
      </c>
      <c r="D862" s="165" t="str">
        <f>IFERROR(VLOOKUP(C862,元件库!$B:$O,2,FALSE),"")</f>
        <v>欣利铜材</v>
      </c>
      <c r="E862" s="166" t="str">
        <f t="shared" si="315"/>
        <v>米</v>
      </c>
      <c r="F862" s="166">
        <f>1*(MID(O862,FIND("-",O862)+1,FIND("*",O862)-FIND("-",O862)-1)/1000*IF(B862="水平排",3,1))</f>
        <v>0.8</v>
      </c>
      <c r="G862" s="42">
        <f t="shared" si="316"/>
        <v>81.167999999999992</v>
      </c>
      <c r="H862" s="42">
        <f t="shared" si="317"/>
        <v>64.934399999999997</v>
      </c>
      <c r="I862" s="167"/>
      <c r="J862" s="168">
        <f t="shared" si="320"/>
        <v>1</v>
      </c>
      <c r="K862" s="169">
        <f t="shared" si="318"/>
        <v>81.167999999999992</v>
      </c>
      <c r="L862" s="170">
        <f>IFERROR(VLOOKUP(C862,元件库!$B:$O,10,FALSE),"1.00")</f>
        <v>1</v>
      </c>
      <c r="M862" s="171">
        <f>IFERROR(VLOOKUP(C862,元件库!$B:$O,11,FALSE),"")</f>
        <v>81.167999999999992</v>
      </c>
      <c r="N862" s="172" t="str">
        <f t="shared" ca="1" si="319"/>
        <v/>
      </c>
      <c r="O862" s="176" t="str">
        <f>O865</f>
        <v>GGD-800*600*2000</v>
      </c>
    </row>
    <row r="863" spans="1:23" s="175" customFormat="1" ht="16.5" customHeight="1" x14ac:dyDescent="0.2">
      <c r="A863" s="38">
        <f>COUNTIF($J$1:J863,"!")</f>
        <v>54</v>
      </c>
      <c r="B863" s="163" t="s">
        <v>2172</v>
      </c>
      <c r="C863" s="164" t="s">
        <v>2326</v>
      </c>
      <c r="D863" s="165" t="str">
        <f>IFERROR(VLOOKUP(C863,元件库!$B:$O,2,FALSE),"")</f>
        <v>欣利铜材</v>
      </c>
      <c r="E863" s="166" t="str">
        <f t="shared" si="315"/>
        <v>米</v>
      </c>
      <c r="F863" s="166">
        <f>1*(MID(O863,FIND("-",O863)+1,FIND("*",O863)-FIND("-",O863)-1)/1000*IF(B863="水平排",3,1))</f>
        <v>0.8</v>
      </c>
      <c r="G863" s="42">
        <f t="shared" si="316"/>
        <v>81.167999999999992</v>
      </c>
      <c r="H863" s="42">
        <f t="shared" si="317"/>
        <v>64.934399999999997</v>
      </c>
      <c r="I863" s="167"/>
      <c r="J863" s="168">
        <f t="shared" si="320"/>
        <v>1</v>
      </c>
      <c r="K863" s="169">
        <f t="shared" si="318"/>
        <v>81.167999999999992</v>
      </c>
      <c r="L863" s="170">
        <f>IFERROR(VLOOKUP(C863,元件库!$B:$O,10,FALSE),"1.00")</f>
        <v>1</v>
      </c>
      <c r="M863" s="171">
        <f>IFERROR(VLOOKUP(C863,元件库!$B:$O,11,FALSE),"")</f>
        <v>81.167999999999992</v>
      </c>
      <c r="N863" s="172" t="str">
        <f t="shared" ca="1" si="319"/>
        <v/>
      </c>
      <c r="O863" s="176" t="str">
        <f>O865</f>
        <v>GGD-800*600*2000</v>
      </c>
    </row>
    <row r="864" spans="1:23" ht="16.5" customHeight="1" x14ac:dyDescent="0.2">
      <c r="A864" s="38">
        <f>COUNTIF($J$1:J864,"!")</f>
        <v>54</v>
      </c>
      <c r="B864" s="177" t="s">
        <v>107</v>
      </c>
      <c r="C864" s="164"/>
      <c r="D864" s="166"/>
      <c r="E864" s="166"/>
      <c r="F864" s="166"/>
      <c r="G864" s="42"/>
      <c r="H864" s="42"/>
      <c r="I864" s="178">
        <f>SUM(H852:H864)</f>
        <v>6603.3680000000004</v>
      </c>
      <c r="J864" s="168"/>
      <c r="K864" s="169"/>
      <c r="L864" s="170"/>
      <c r="M864" s="171"/>
      <c r="O864" s="174"/>
      <c r="P864" s="162"/>
    </row>
    <row r="865" spans="1:19" ht="16.5" customHeight="1" x14ac:dyDescent="0.2">
      <c r="A865" s="38">
        <f>COUNTIF($J$1:J865,"!")</f>
        <v>54</v>
      </c>
      <c r="B865" s="179" t="s">
        <v>47</v>
      </c>
      <c r="C865" s="164"/>
      <c r="D865" s="166"/>
      <c r="E865" s="166"/>
      <c r="F865" s="166"/>
      <c r="G865" s="42"/>
      <c r="H865" s="42">
        <f>IFERROR(J865*K865,"")</f>
        <v>800</v>
      </c>
      <c r="I865" s="167"/>
      <c r="J865" s="168">
        <f>P$1</f>
        <v>1</v>
      </c>
      <c r="K865" s="169">
        <f>L865*M865</f>
        <v>800</v>
      </c>
      <c r="L865" s="170" t="str">
        <f>IFERROR(VLOOKUP(C865,元件库!$B:$O,10,FALSE),"1.00")</f>
        <v>1.00</v>
      </c>
      <c r="M865" s="171">
        <f>IF(B865="成套费",IF(ISNUMBER(FIND("GGD",O865)),800,IF(OR(ISNUMBER(FIND("GCS",O865)),ISNUMBER(FIND("GCK",O865)),ISNUMBER(FIND("MNS",O865))),1000,"")),IF(B865="辅件费",IF(VLOOKUP(A866,A$1:B865,2,FALSE)="低压电容柜",500,300),""))</f>
        <v>800</v>
      </c>
      <c r="O865" s="180" t="str">
        <f>C852</f>
        <v>GGD-800*600*2000</v>
      </c>
    </row>
    <row r="866" spans="1:19" s="161" customFormat="1" ht="16.5" customHeight="1" x14ac:dyDescent="0.2">
      <c r="A866" s="38">
        <f>COUNTIF($J$1:J866,"!")</f>
        <v>54</v>
      </c>
      <c r="B866" s="179" t="s">
        <v>49</v>
      </c>
      <c r="C866" s="164"/>
      <c r="D866" s="166"/>
      <c r="E866" s="166"/>
      <c r="F866" s="166"/>
      <c r="G866" s="42"/>
      <c r="H866" s="42">
        <f>IFERROR(J866*K866,"")</f>
        <v>500</v>
      </c>
      <c r="I866" s="167"/>
      <c r="J866" s="168">
        <f>P$1</f>
        <v>1</v>
      </c>
      <c r="K866" s="169">
        <f>L866*M866</f>
        <v>500</v>
      </c>
      <c r="L866" s="170" t="str">
        <f>IFERROR(VLOOKUP(C866,元件库!$B:$O,10,FALSE),"1.00")</f>
        <v>1.00</v>
      </c>
      <c r="M866" s="171">
        <f>IF(B866="成套费",IF(ISNUMBER(FIND("GGD",O866)),800,IF(OR(ISNUMBER(FIND("GCS",O866)),ISNUMBER(FIND("GCK",O866)),ISNUMBER(FIND("MNS",O866))),1000,"")),IF(B866="辅件费",IF(VLOOKUP(A866,A$1:B866,2,FALSE)="低压电容柜",500,300),""))</f>
        <v>500</v>
      </c>
      <c r="N866" s="181"/>
      <c r="O866" s="182" t="str">
        <f>O865</f>
        <v>GGD-800*600*2000</v>
      </c>
      <c r="R866" s="162"/>
      <c r="S866" s="162"/>
    </row>
    <row r="867" spans="1:19" s="161" customFormat="1" ht="16.5" customHeight="1" x14ac:dyDescent="0.2">
      <c r="A867" s="38">
        <f>COUNTIF($J$1:J867,"!")</f>
        <v>54</v>
      </c>
      <c r="B867" s="179" t="s">
        <v>79</v>
      </c>
      <c r="C867" s="164"/>
      <c r="D867" s="166"/>
      <c r="E867" s="166"/>
      <c r="F867" s="166"/>
      <c r="G867" s="42"/>
      <c r="H867" s="42">
        <f>K867*L867</f>
        <v>948.40416000000005</v>
      </c>
      <c r="I867" s="167"/>
      <c r="J867" s="168"/>
      <c r="K867" s="169">
        <f>SUM(H864:H866)+I864</f>
        <v>7903.3680000000004</v>
      </c>
      <c r="L867" s="279">
        <f>R$1</f>
        <v>0.12</v>
      </c>
      <c r="M867" s="171"/>
      <c r="N867" s="181"/>
      <c r="O867" s="162"/>
      <c r="R867" s="162"/>
      <c r="S867" s="162"/>
    </row>
    <row r="868" spans="1:19" ht="16.5" customHeight="1" x14ac:dyDescent="0.2">
      <c r="A868" s="38">
        <f>COUNTIF($J$1:J868,"!")</f>
        <v>54</v>
      </c>
      <c r="B868" s="179" t="s">
        <v>108</v>
      </c>
      <c r="C868" s="164"/>
      <c r="D868" s="166"/>
      <c r="E868" s="166"/>
      <c r="F868" s="166"/>
      <c r="G868" s="184"/>
      <c r="H868" s="42">
        <f>K868*L868</f>
        <v>265.55316479999999</v>
      </c>
      <c r="I868" s="167"/>
      <c r="J868" s="168"/>
      <c r="K868" s="169">
        <f>H867+K867</f>
        <v>8851.7721600000004</v>
      </c>
      <c r="L868" s="279">
        <f>T$1</f>
        <v>0.03</v>
      </c>
      <c r="M868" s="171"/>
      <c r="O868" s="162"/>
    </row>
    <row r="869" spans="1:19" ht="16.5" customHeight="1" x14ac:dyDescent="0.15">
      <c r="A869" s="32">
        <f>COUNTIF($J$1:J869,"!")</f>
        <v>55</v>
      </c>
      <c r="B869" s="33" t="s">
        <v>2726</v>
      </c>
      <c r="C869" s="158" t="s">
        <v>3185</v>
      </c>
      <c r="D869" s="159" t="s">
        <v>3181</v>
      </c>
      <c r="E869" s="34" t="s">
        <v>23</v>
      </c>
      <c r="F869" s="159">
        <v>2</v>
      </c>
      <c r="G869" s="36">
        <f>ROUND(SUM(H870:H885),0)</f>
        <v>8797</v>
      </c>
      <c r="H869" s="160" t="str">
        <f>IF(ISNUMBER(FIND(" ",C870)),MID(C870,1,FIND(" ",C870)-1),IF(ISNUMBER(FIND("电容柜",B869)),"GGJ",MID(C870,1,FIND("-",C870)-1)))</f>
        <v>GGD</v>
      </c>
      <c r="I869" s="47" t="str">
        <f>MID(C870,IF(LEN(C870)-LEN(H869)&gt;3,LEN(H869)+2,1),30)</f>
        <v>1200*600*2000</v>
      </c>
      <c r="J869" s="48" t="s">
        <v>24</v>
      </c>
      <c r="K869" s="49"/>
      <c r="L869" s="50"/>
      <c r="M869" s="51"/>
      <c r="O869" s="162"/>
    </row>
    <row r="870" spans="1:19" ht="16.5" customHeight="1" x14ac:dyDescent="0.2">
      <c r="A870" s="38">
        <f>COUNTIF($J$1:J870,"!")</f>
        <v>55</v>
      </c>
      <c r="B870" s="163" t="str">
        <f>IFERROR(VLOOKUP(C870,元件库!$B:$O,3,FALSE),"")</f>
        <v>壳体W*D*H</v>
      </c>
      <c r="C870" s="164" t="s">
        <v>2888</v>
      </c>
      <c r="D870" s="165" t="str">
        <f>IFERROR(VLOOKUP(C870,元件库!$B:$O,2,FALSE),"")</f>
        <v>精益联合集团</v>
      </c>
      <c r="E870" s="166" t="str">
        <f t="shared" ref="E870:E880" si="321">IF(D870="欣利铜材","米",IF(B870="熔断器","套","只"))</f>
        <v>只</v>
      </c>
      <c r="F870" s="166">
        <v>1</v>
      </c>
      <c r="G870" s="42">
        <f t="shared" ref="G870:G880" si="322">IFERROR(J870*K870,"")</f>
        <v>1850</v>
      </c>
      <c r="H870" s="42">
        <f t="shared" ref="H870:H880" si="323">IFERROR(G870*F870,"")</f>
        <v>1850</v>
      </c>
      <c r="I870" s="167"/>
      <c r="J870" s="168">
        <f>P$1</f>
        <v>1</v>
      </c>
      <c r="K870" s="169">
        <f t="shared" ref="K870:K880" si="324">IFERROR(M870*L870,"")</f>
        <v>1850</v>
      </c>
      <c r="L870" s="170">
        <f>IFERROR(VLOOKUP(C870,元件库!$B:$O,10,FALSE),"1.00")</f>
        <v>1</v>
      </c>
      <c r="M870" s="171">
        <f>IFERROR(VLOOKUP(C870,元件库!$B:$O,11,FALSE),"")</f>
        <v>1850</v>
      </c>
      <c r="N870" s="172" t="str">
        <f t="shared" ref="N870:N880" ca="1" si="325">IF(AND(ISNUMBER(FIND("IF",_xlfn.FORMULATEXT(L870))),ISNUMBER(FIND("IF",_xlfn.FORMULATEXT(M870)))),"","值")</f>
        <v/>
      </c>
      <c r="O870" s="157" t="str">
        <f>B869</f>
        <v>低压馈线柜</v>
      </c>
    </row>
    <row r="871" spans="1:19" s="173" customFormat="1" ht="16.5" customHeight="1" x14ac:dyDescent="0.2">
      <c r="A871" s="38">
        <f>COUNTIF($J$1:J871,"!")</f>
        <v>55</v>
      </c>
      <c r="B871" s="163" t="str">
        <f>IFERROR(VLOOKUP(C871,元件库!$B:$O,3,FALSE),"")</f>
        <v>刀开关</v>
      </c>
      <c r="C871" s="164" t="s">
        <v>3051</v>
      </c>
      <c r="D871" s="165" t="str">
        <f>IFERROR(VLOOKUP(C871,元件库!$B:$O,2,FALSE),"")</f>
        <v>精益联合集团</v>
      </c>
      <c r="E871" s="166" t="str">
        <f t="shared" si="321"/>
        <v>只</v>
      </c>
      <c r="F871" s="166">
        <v>1</v>
      </c>
      <c r="G871" s="42">
        <f t="shared" si="322"/>
        <v>573.1</v>
      </c>
      <c r="H871" s="42">
        <f t="shared" si="323"/>
        <v>573.1</v>
      </c>
      <c r="I871" s="167"/>
      <c r="J871" s="168">
        <f t="shared" ref="J871:J880" si="326">P$1</f>
        <v>1</v>
      </c>
      <c r="K871" s="169">
        <f t="shared" si="324"/>
        <v>573.1</v>
      </c>
      <c r="L871" s="170">
        <f>IFERROR(VLOOKUP(C871,元件库!$B:$O,10,FALSE),"1.00")</f>
        <v>0.55000000000000004</v>
      </c>
      <c r="M871" s="171">
        <f>IFERROR(VLOOKUP(C871,元件库!$B:$O,11,FALSE),"")</f>
        <v>1042</v>
      </c>
      <c r="N871" s="172" t="str">
        <f t="shared" ca="1" si="325"/>
        <v/>
      </c>
      <c r="P871" s="161"/>
    </row>
    <row r="872" spans="1:19" s="173" customFormat="1" ht="16.5" customHeight="1" x14ac:dyDescent="0.2">
      <c r="A872" s="38">
        <f>COUNTIF($J$1:J872,"!")</f>
        <v>55</v>
      </c>
      <c r="B872" s="163" t="str">
        <f>IFERROR(VLOOKUP(C872,元件库!$B:$O,3,FALSE),"")</f>
        <v>塑壳断路器</v>
      </c>
      <c r="C872" s="164" t="s">
        <v>3131</v>
      </c>
      <c r="D872" s="165" t="str">
        <f>IFERROR(VLOOKUP(C872,元件库!$B:$O,2,FALSE),"")</f>
        <v>吉坤电气</v>
      </c>
      <c r="E872" s="166" t="str">
        <f t="shared" si="321"/>
        <v>只</v>
      </c>
      <c r="F872" s="166">
        <v>5</v>
      </c>
      <c r="G872" s="42">
        <f t="shared" si="322"/>
        <v>329</v>
      </c>
      <c r="H872" s="42">
        <f t="shared" si="323"/>
        <v>1645</v>
      </c>
      <c r="I872" s="167"/>
      <c r="J872" s="168">
        <f t="shared" si="326"/>
        <v>1</v>
      </c>
      <c r="K872" s="169">
        <f t="shared" si="324"/>
        <v>329</v>
      </c>
      <c r="L872" s="170">
        <f>IFERROR(VLOOKUP(C872,元件库!$B:$O,10,FALSE),"1.00")</f>
        <v>1</v>
      </c>
      <c r="M872" s="171">
        <f>IFERROR(VLOOKUP(C872,元件库!$B:$O,11,FALSE),"")</f>
        <v>329</v>
      </c>
      <c r="N872" s="172" t="str">
        <f t="shared" ca="1" si="325"/>
        <v/>
      </c>
      <c r="P872" s="161"/>
    </row>
    <row r="873" spans="1:19" s="173" customFormat="1" ht="16.5" customHeight="1" x14ac:dyDescent="0.2">
      <c r="A873" s="38">
        <f>COUNTIF($J$1:J873,"!")</f>
        <v>55</v>
      </c>
      <c r="B873" s="163" t="str">
        <f>IFERROR(VLOOKUP(C873,元件库!$B:$O,3,FALSE),"")</f>
        <v/>
      </c>
      <c r="C873" s="164" t="s">
        <v>3151</v>
      </c>
      <c r="D873" s="165" t="str">
        <f>IFERROR(VLOOKUP(C873,元件库!$B:$O,2,FALSE),"")</f>
        <v/>
      </c>
      <c r="E873" s="166" t="str">
        <f t="shared" si="321"/>
        <v>只</v>
      </c>
      <c r="F873" s="166">
        <v>3</v>
      </c>
      <c r="G873" s="42" t="str">
        <f t="shared" si="322"/>
        <v/>
      </c>
      <c r="H873" s="42" t="str">
        <f t="shared" si="323"/>
        <v/>
      </c>
      <c r="I873" s="167"/>
      <c r="J873" s="168">
        <f t="shared" si="326"/>
        <v>1</v>
      </c>
      <c r="K873" s="169" t="str">
        <f t="shared" si="324"/>
        <v/>
      </c>
      <c r="L873" s="170" t="str">
        <f>IFERROR(VLOOKUP(C873,元件库!$B:$O,10,FALSE),"1.00")</f>
        <v>1.00</v>
      </c>
      <c r="M873" s="171" t="str">
        <f>IFERROR(VLOOKUP(C873,元件库!$B:$O,11,FALSE),"")</f>
        <v/>
      </c>
      <c r="N873" s="172" t="str">
        <f t="shared" ca="1" si="325"/>
        <v/>
      </c>
      <c r="P873" s="161"/>
    </row>
    <row r="874" spans="1:19" s="173" customFormat="1" ht="16.5" customHeight="1" x14ac:dyDescent="0.2">
      <c r="A874" s="38">
        <f>COUNTIF($J$1:J874,"!")</f>
        <v>55</v>
      </c>
      <c r="B874" s="163" t="str">
        <f>IFERROR(VLOOKUP(C874,元件库!$B:$O,3,FALSE),"")</f>
        <v>电流.电压表</v>
      </c>
      <c r="C874" s="164" t="s">
        <v>1899</v>
      </c>
      <c r="D874" s="165" t="str">
        <f>IFERROR(VLOOKUP(C874,元件库!$B:$O,2,FALSE),"")</f>
        <v>精益联合集团</v>
      </c>
      <c r="E874" s="166" t="str">
        <f t="shared" si="321"/>
        <v>只</v>
      </c>
      <c r="F874" s="166">
        <v>3</v>
      </c>
      <c r="G874" s="42">
        <f t="shared" si="322"/>
        <v>13.750000000000002</v>
      </c>
      <c r="H874" s="42">
        <f t="shared" si="323"/>
        <v>41.250000000000007</v>
      </c>
      <c r="I874" s="167"/>
      <c r="J874" s="168">
        <f t="shared" si="326"/>
        <v>1</v>
      </c>
      <c r="K874" s="169">
        <f t="shared" si="324"/>
        <v>13.750000000000002</v>
      </c>
      <c r="L874" s="170">
        <f>IFERROR(VLOOKUP(C874,元件库!$B:$O,10,FALSE),"1.00")</f>
        <v>0.55000000000000004</v>
      </c>
      <c r="M874" s="171">
        <f>IFERROR(VLOOKUP(C874,元件库!$B:$O,11,FALSE),"")</f>
        <v>25</v>
      </c>
      <c r="N874" s="172" t="str">
        <f t="shared" ca="1" si="325"/>
        <v/>
      </c>
      <c r="P874" s="161"/>
    </row>
    <row r="875" spans="1:19" s="173" customFormat="1" ht="16.5" customHeight="1" x14ac:dyDescent="0.2">
      <c r="A875" s="38">
        <f>COUNTIF($J$1:J875,"!")</f>
        <v>55</v>
      </c>
      <c r="B875" s="163" t="str">
        <f>IFERROR(VLOOKUP(C875,元件库!$B:$O,3,FALSE),"")</f>
        <v>指示灯</v>
      </c>
      <c r="C875" s="164" t="s">
        <v>3044</v>
      </c>
      <c r="D875" s="165" t="str">
        <f>IFERROR(VLOOKUP(C875,元件库!$B:$O,2,FALSE),"")</f>
        <v>精益联合集团</v>
      </c>
      <c r="E875" s="166" t="str">
        <f t="shared" si="321"/>
        <v>只</v>
      </c>
      <c r="F875" s="166">
        <v>5</v>
      </c>
      <c r="G875" s="42">
        <f t="shared" si="322"/>
        <v>2.3100000000000005</v>
      </c>
      <c r="H875" s="42">
        <f t="shared" si="323"/>
        <v>11.550000000000002</v>
      </c>
      <c r="I875" s="167"/>
      <c r="J875" s="168">
        <f t="shared" si="326"/>
        <v>1</v>
      </c>
      <c r="K875" s="169">
        <f t="shared" si="324"/>
        <v>2.3100000000000005</v>
      </c>
      <c r="L875" s="170">
        <f>IFERROR(VLOOKUP(C875,元件库!$B:$O,10,FALSE),"1.00")</f>
        <v>0.55000000000000004</v>
      </c>
      <c r="M875" s="171">
        <f>IFERROR(VLOOKUP(C875,元件库!$B:$O,11,FALSE),"")</f>
        <v>4.2</v>
      </c>
      <c r="N875" s="172" t="str">
        <f t="shared" ca="1" si="325"/>
        <v/>
      </c>
      <c r="P875" s="161"/>
    </row>
    <row r="876" spans="1:19" s="173" customFormat="1" ht="16.5" customHeight="1" x14ac:dyDescent="0.2">
      <c r="A876" s="38">
        <f>COUNTIF($J$1:J876,"!")</f>
        <v>55</v>
      </c>
      <c r="B876" s="163" t="str">
        <f>IFERROR(VLOOKUP(C876,元件库!$B:$O,3,FALSE),"")</f>
        <v>铜排</v>
      </c>
      <c r="C876" s="164" t="s">
        <v>1889</v>
      </c>
      <c r="D876" s="165" t="str">
        <f>IFERROR(VLOOKUP(C876,元件库!$B:$O,2,FALSE),"")</f>
        <v>欣利铜材</v>
      </c>
      <c r="E876" s="166" t="str">
        <f t="shared" si="321"/>
        <v>米</v>
      </c>
      <c r="F876" s="166">
        <v>6</v>
      </c>
      <c r="G876" s="42">
        <f t="shared" si="322"/>
        <v>182.62799999999999</v>
      </c>
      <c r="H876" s="42">
        <f t="shared" si="323"/>
        <v>1095.768</v>
      </c>
      <c r="I876" s="167"/>
      <c r="J876" s="168">
        <f t="shared" si="326"/>
        <v>1</v>
      </c>
      <c r="K876" s="169">
        <f t="shared" si="324"/>
        <v>182.62799999999999</v>
      </c>
      <c r="L876" s="170">
        <f>IFERROR(VLOOKUP(C876,元件库!$B:$O,10,FALSE),"1.00")</f>
        <v>1</v>
      </c>
      <c r="M876" s="171">
        <f>IFERROR(VLOOKUP(C876,元件库!$B:$O,11,FALSE),"")</f>
        <v>182.62799999999999</v>
      </c>
      <c r="N876" s="172" t="str">
        <f t="shared" ca="1" si="325"/>
        <v/>
      </c>
      <c r="P876" s="161"/>
    </row>
    <row r="877" spans="1:19" s="173" customFormat="1" ht="16.5" customHeight="1" x14ac:dyDescent="0.2">
      <c r="A877" s="38">
        <f>COUNTIF($J$1:J877,"!")</f>
        <v>55</v>
      </c>
      <c r="B877" s="163" t="str">
        <f>IFERROR(VLOOKUP(C877,元件库!$B:$O,3,FALSE),"")</f>
        <v>铜排</v>
      </c>
      <c r="C877" s="164" t="s">
        <v>1887</v>
      </c>
      <c r="D877" s="165" t="str">
        <f>IFERROR(VLOOKUP(C877,元件库!$B:$O,2,FALSE),"")</f>
        <v>欣利铜材</v>
      </c>
      <c r="E877" s="166" t="str">
        <f t="shared" si="321"/>
        <v>米</v>
      </c>
      <c r="F877" s="166">
        <v>6</v>
      </c>
      <c r="G877" s="42">
        <f t="shared" si="322"/>
        <v>76.094999999999999</v>
      </c>
      <c r="H877" s="42">
        <f t="shared" si="323"/>
        <v>456.57</v>
      </c>
      <c r="I877" s="167"/>
      <c r="J877" s="168">
        <f t="shared" si="326"/>
        <v>1</v>
      </c>
      <c r="K877" s="169">
        <f t="shared" si="324"/>
        <v>76.094999999999999</v>
      </c>
      <c r="L877" s="170">
        <f>IFERROR(VLOOKUP(C877,元件库!$B:$O,10,FALSE),"1.00")</f>
        <v>1</v>
      </c>
      <c r="M877" s="171">
        <f>IFERROR(VLOOKUP(C877,元件库!$B:$O,11,FALSE),"")</f>
        <v>76.094999999999999</v>
      </c>
      <c r="N877" s="172" t="str">
        <f t="shared" ca="1" si="325"/>
        <v/>
      </c>
      <c r="P877" s="161"/>
    </row>
    <row r="878" spans="1:19" s="175" customFormat="1" ht="16.5" customHeight="1" x14ac:dyDescent="0.2">
      <c r="A878" s="38">
        <f>COUNTIF($J$1:J878,"!")</f>
        <v>55</v>
      </c>
      <c r="B878" s="163" t="s">
        <v>2171</v>
      </c>
      <c r="C878" s="164" t="s">
        <v>1889</v>
      </c>
      <c r="D878" s="165" t="str">
        <f>IFERROR(VLOOKUP(C878,元件库!$B:$O,2,FALSE),"")</f>
        <v>欣利铜材</v>
      </c>
      <c r="E878" s="166" t="str">
        <f t="shared" si="321"/>
        <v>米</v>
      </c>
      <c r="F878" s="166">
        <f>1*(MID(O878,FIND("-",O878)+1,FIND("*",O878)-FIND("-",O878)-1)/1000*IF(B878="水平排",3,1))</f>
        <v>3.5999999999999996</v>
      </c>
      <c r="G878" s="42">
        <f t="shared" si="322"/>
        <v>182.62799999999999</v>
      </c>
      <c r="H878" s="42">
        <f t="shared" si="323"/>
        <v>657.46079999999984</v>
      </c>
      <c r="I878" s="167"/>
      <c r="J878" s="168">
        <f t="shared" si="326"/>
        <v>1</v>
      </c>
      <c r="K878" s="169">
        <f t="shared" si="324"/>
        <v>182.62799999999999</v>
      </c>
      <c r="L878" s="170">
        <f>IFERROR(VLOOKUP(C878,元件库!$B:$O,10,FALSE),"1.00")</f>
        <v>1</v>
      </c>
      <c r="M878" s="171">
        <f>IFERROR(VLOOKUP(C878,元件库!$B:$O,11,FALSE),"")</f>
        <v>182.62799999999999</v>
      </c>
      <c r="N878" s="172" t="str">
        <f t="shared" ca="1" si="325"/>
        <v/>
      </c>
      <c r="O878" s="174" t="str">
        <f>O882</f>
        <v>GGD-1200*600*2000</v>
      </c>
    </row>
    <row r="879" spans="1:19" s="175" customFormat="1" ht="16.5" customHeight="1" x14ac:dyDescent="0.2">
      <c r="A879" s="38">
        <f>COUNTIF($J$1:J879,"!")</f>
        <v>55</v>
      </c>
      <c r="B879" s="163" t="s">
        <v>2725</v>
      </c>
      <c r="C879" s="164" t="s">
        <v>2326</v>
      </c>
      <c r="D879" s="165" t="str">
        <f>IFERROR(VLOOKUP(C879,元件库!$B:$O,2,FALSE),"")</f>
        <v>欣利铜材</v>
      </c>
      <c r="E879" s="166" t="str">
        <f t="shared" si="321"/>
        <v>米</v>
      </c>
      <c r="F879" s="166">
        <f>1*(MID(O879,FIND("-",O879)+1,FIND("*",O879)-FIND("-",O879)-1)/1000*IF(B879="水平排",3,1))</f>
        <v>1.2</v>
      </c>
      <c r="G879" s="42">
        <f t="shared" si="322"/>
        <v>81.167999999999992</v>
      </c>
      <c r="H879" s="42">
        <f t="shared" si="323"/>
        <v>97.401599999999988</v>
      </c>
      <c r="I879" s="167"/>
      <c r="J879" s="168">
        <f t="shared" si="326"/>
        <v>1</v>
      </c>
      <c r="K879" s="169">
        <f t="shared" si="324"/>
        <v>81.167999999999992</v>
      </c>
      <c r="L879" s="170">
        <f>IFERROR(VLOOKUP(C879,元件库!$B:$O,10,FALSE),"1.00")</f>
        <v>1</v>
      </c>
      <c r="M879" s="171">
        <f>IFERROR(VLOOKUP(C879,元件库!$B:$O,11,FALSE),"")</f>
        <v>81.167999999999992</v>
      </c>
      <c r="N879" s="172" t="str">
        <f t="shared" ca="1" si="325"/>
        <v/>
      </c>
      <c r="O879" s="176" t="str">
        <f>O882</f>
        <v>GGD-1200*600*2000</v>
      </c>
    </row>
    <row r="880" spans="1:19" s="175" customFormat="1" ht="16.5" customHeight="1" x14ac:dyDescent="0.2">
      <c r="A880" s="38">
        <f>COUNTIF($J$1:J880,"!")</f>
        <v>55</v>
      </c>
      <c r="B880" s="163" t="s">
        <v>2172</v>
      </c>
      <c r="C880" s="164" t="s">
        <v>2326</v>
      </c>
      <c r="D880" s="165" t="str">
        <f>IFERROR(VLOOKUP(C880,元件库!$B:$O,2,FALSE),"")</f>
        <v>欣利铜材</v>
      </c>
      <c r="E880" s="166" t="str">
        <f t="shared" si="321"/>
        <v>米</v>
      </c>
      <c r="F880" s="166">
        <f>1*(MID(O880,FIND("-",O880)+1,FIND("*",O880)-FIND("-",O880)-1)/1000*IF(B880="水平排",3,1))</f>
        <v>1.2</v>
      </c>
      <c r="G880" s="42">
        <f t="shared" si="322"/>
        <v>81.167999999999992</v>
      </c>
      <c r="H880" s="42">
        <f t="shared" si="323"/>
        <v>97.401599999999988</v>
      </c>
      <c r="I880" s="167"/>
      <c r="J880" s="168">
        <f t="shared" si="326"/>
        <v>1</v>
      </c>
      <c r="K880" s="169">
        <f t="shared" si="324"/>
        <v>81.167999999999992</v>
      </c>
      <c r="L880" s="170">
        <f>IFERROR(VLOOKUP(C880,元件库!$B:$O,10,FALSE),"1.00")</f>
        <v>1</v>
      </c>
      <c r="M880" s="171">
        <f>IFERROR(VLOOKUP(C880,元件库!$B:$O,11,FALSE),"")</f>
        <v>81.167999999999992</v>
      </c>
      <c r="N880" s="172" t="str">
        <f t="shared" ca="1" si="325"/>
        <v/>
      </c>
      <c r="O880" s="176" t="str">
        <f>O882</f>
        <v>GGD-1200*600*2000</v>
      </c>
    </row>
    <row r="881" spans="1:22" ht="16.5" customHeight="1" x14ac:dyDescent="0.2">
      <c r="A881" s="38">
        <f>COUNTIF($J$1:J881,"!")</f>
        <v>55</v>
      </c>
      <c r="B881" s="177" t="s">
        <v>107</v>
      </c>
      <c r="C881" s="164"/>
      <c r="D881" s="166"/>
      <c r="E881" s="166"/>
      <c r="F881" s="166"/>
      <c r="G881" s="42"/>
      <c r="H881" s="42"/>
      <c r="I881" s="178">
        <f>SUM(H870:H881)</f>
        <v>6525.5020000000004</v>
      </c>
      <c r="J881" s="168"/>
      <c r="K881" s="169"/>
      <c r="L881" s="170"/>
      <c r="M881" s="171"/>
      <c r="O881" s="174"/>
      <c r="P881" s="162"/>
    </row>
    <row r="882" spans="1:22" ht="16.5" customHeight="1" x14ac:dyDescent="0.2">
      <c r="A882" s="38">
        <f>COUNTIF($J$1:J882,"!")</f>
        <v>55</v>
      </c>
      <c r="B882" s="179" t="s">
        <v>47</v>
      </c>
      <c r="C882" s="164"/>
      <c r="D882" s="166"/>
      <c r="E882" s="166"/>
      <c r="F882" s="166"/>
      <c r="G882" s="42"/>
      <c r="H882" s="42">
        <f>IFERROR(J882*K882,"")</f>
        <v>800</v>
      </c>
      <c r="I882" s="167"/>
      <c r="J882" s="168">
        <f>P$1</f>
        <v>1</v>
      </c>
      <c r="K882" s="169">
        <f>L882*M882</f>
        <v>800</v>
      </c>
      <c r="L882" s="170">
        <f>F870</f>
        <v>1</v>
      </c>
      <c r="M882" s="171">
        <f>IF(B882="成套费",IF(ISNUMBER(FIND("GGD",O882)),800,IF(OR(ISNUMBER(FIND("GCS",O882)),ISNUMBER(FIND("GCK",O882)),ISNUMBER(FIND("MNS",O882))),1000,"")),IF(B882="辅件费",IF(VLOOKUP(A883,A$1:B882,2,FALSE)="低压电容柜",500,300),""))</f>
        <v>800</v>
      </c>
      <c r="O882" s="180" t="str">
        <f>C870</f>
        <v>GGD-1200*600*2000</v>
      </c>
    </row>
    <row r="883" spans="1:22" s="161" customFormat="1" ht="16.5" customHeight="1" x14ac:dyDescent="0.2">
      <c r="A883" s="38">
        <f>COUNTIF($J$1:J883,"!")</f>
        <v>55</v>
      </c>
      <c r="B883" s="179" t="s">
        <v>49</v>
      </c>
      <c r="C883" s="164"/>
      <c r="D883" s="166"/>
      <c r="E883" s="166"/>
      <c r="F883" s="166"/>
      <c r="G883" s="42"/>
      <c r="H883" s="42">
        <f>IFERROR(J883*K883,"")</f>
        <v>300</v>
      </c>
      <c r="I883" s="167"/>
      <c r="J883" s="168">
        <f>P$1</f>
        <v>1</v>
      </c>
      <c r="K883" s="169">
        <f>L883*M883</f>
        <v>300</v>
      </c>
      <c r="L883" s="170">
        <f>F870</f>
        <v>1</v>
      </c>
      <c r="M883" s="171">
        <f>IF(B883="成套费",IF(ISNUMBER(FIND("GGD",O883)),800,IF(OR(ISNUMBER(FIND("GCS",O883)),ISNUMBER(FIND("GCK",O883)),ISNUMBER(FIND("MNS",O883))),1000,"")),IF(B883="辅件费",IF(VLOOKUP(A883,A$1:B883,2,FALSE)="低压电容柜",500,300),""))</f>
        <v>300</v>
      </c>
      <c r="N883" s="181"/>
      <c r="O883" s="182" t="str">
        <f>O882</f>
        <v>GGD-1200*600*2000</v>
      </c>
      <c r="R883" s="162"/>
      <c r="S883" s="162"/>
    </row>
    <row r="884" spans="1:22" s="161" customFormat="1" ht="16.5" customHeight="1" x14ac:dyDescent="0.2">
      <c r="A884" s="38">
        <f>COUNTIF($J$1:J884,"!")</f>
        <v>55</v>
      </c>
      <c r="B884" s="179" t="s">
        <v>79</v>
      </c>
      <c r="C884" s="164"/>
      <c r="D884" s="166"/>
      <c r="E884" s="166"/>
      <c r="F884" s="166"/>
      <c r="G884" s="42"/>
      <c r="H884" s="42">
        <f>K884*L884</f>
        <v>915.06024000000002</v>
      </c>
      <c r="I884" s="167"/>
      <c r="J884" s="168"/>
      <c r="K884" s="169">
        <f>SUM(H881:H883)+I881</f>
        <v>7625.5020000000004</v>
      </c>
      <c r="L884" s="279">
        <f>R$1</f>
        <v>0.12</v>
      </c>
      <c r="M884" s="171"/>
      <c r="N884" s="181"/>
      <c r="O884" s="162"/>
      <c r="R884" s="162"/>
      <c r="S884" s="162"/>
    </row>
    <row r="885" spans="1:22" ht="16.5" customHeight="1" x14ac:dyDescent="0.2">
      <c r="A885" s="38">
        <f>COUNTIF($J$1:J885,"!")</f>
        <v>55</v>
      </c>
      <c r="B885" s="179" t="s">
        <v>108</v>
      </c>
      <c r="C885" s="164"/>
      <c r="D885" s="166"/>
      <c r="E885" s="166"/>
      <c r="F885" s="166"/>
      <c r="G885" s="184"/>
      <c r="H885" s="42">
        <f>K885*L885</f>
        <v>256.21686720000002</v>
      </c>
      <c r="I885" s="167"/>
      <c r="J885" s="168"/>
      <c r="K885" s="169">
        <f>H884+K884</f>
        <v>8540.5622400000011</v>
      </c>
      <c r="L885" s="279">
        <f>T$1</f>
        <v>0.03</v>
      </c>
      <c r="M885" s="171"/>
      <c r="O885" s="162"/>
    </row>
    <row r="886" spans="1:22" ht="16.5" customHeight="1" x14ac:dyDescent="0.15">
      <c r="A886" s="32">
        <f>COUNTIF($J$1:J886,"!")</f>
        <v>56</v>
      </c>
      <c r="B886" s="33" t="s">
        <v>159</v>
      </c>
      <c r="C886" s="277" t="str">
        <f>LOOKUP(0,0/((RIGHT(B828:B886,3)="变压器")*(D828:D886=D886)),N828:N886)&amp;"10/0.4"</f>
        <v>500KVA 10/0.4</v>
      </c>
      <c r="D886" s="159" t="s">
        <v>3181</v>
      </c>
      <c r="E886" s="34" t="s">
        <v>23</v>
      </c>
      <c r="F886" s="159">
        <v>1</v>
      </c>
      <c r="G886" s="36">
        <f>ROUND(SUM(H887:H895),0)</f>
        <v>24745</v>
      </c>
      <c r="H886" s="160" t="str">
        <f>IF(ISNUMBER(FIND(" ",C887)),MID(C887,1,FIND(" ",C887)-1),IF(ISNUMBER(FIND("电容柜",B886)),"GGJ",MID(C887,1,FIND("-",C887)-1)))</f>
        <v>YBP</v>
      </c>
      <c r="I886" s="47" t="str">
        <f>MID(C887,IF(LEN(C887)-LEN(H886)&gt;3,LEN(H886)+2,1),30)</f>
        <v>4400*2300*2650</v>
      </c>
      <c r="J886" s="48" t="s">
        <v>24</v>
      </c>
      <c r="K886" s="49"/>
      <c r="L886" s="50"/>
      <c r="M886" s="51"/>
      <c r="O886" s="297"/>
      <c r="P886" s="161">
        <v>1650</v>
      </c>
      <c r="Q886" s="162">
        <v>2900</v>
      </c>
      <c r="R886" s="157">
        <v>1900</v>
      </c>
      <c r="S886" s="162">
        <v>1850</v>
      </c>
      <c r="T886" s="157">
        <v>3000</v>
      </c>
      <c r="U886" s="157">
        <v>2400</v>
      </c>
      <c r="V886" s="157">
        <v>3600</v>
      </c>
    </row>
    <row r="887" spans="1:22" ht="16.5" customHeight="1" x14ac:dyDescent="0.2">
      <c r="A887" s="38">
        <f>COUNTIF($J$1:J887,"!")</f>
        <v>56</v>
      </c>
      <c r="B887" s="163" t="s">
        <v>25</v>
      </c>
      <c r="C887" s="164" t="s">
        <v>3152</v>
      </c>
      <c r="D887" s="165" t="s">
        <v>3242</v>
      </c>
      <c r="E887" s="166" t="s">
        <v>29</v>
      </c>
      <c r="F887" s="166">
        <v>1</v>
      </c>
      <c r="G887" s="42">
        <f>IFERROR(J887*K887,"")</f>
        <v>15863.099999999999</v>
      </c>
      <c r="H887" s="42">
        <f>IFERROR(G887*F887,"")</f>
        <v>15863.099999999999</v>
      </c>
      <c r="I887" s="167"/>
      <c r="J887" s="168">
        <f>P$1</f>
        <v>1</v>
      </c>
      <c r="K887" s="169">
        <f>IFERROR(M887*L887,"")</f>
        <v>15863.099999999999</v>
      </c>
      <c r="L887" s="170">
        <v>0.95</v>
      </c>
      <c r="M887" s="171">
        <f>IFERROR(Q887*R887,"")</f>
        <v>16698</v>
      </c>
      <c r="N887" s="172" t="str">
        <f ca="1">IF(AND(ISNUMBER(FIND("IF",_xlfn.FORMULATEXT(L887))),ISNUMBER(FIND("IF",_xlfn.FORMULATEXT(M887)))),"","值")</f>
        <v>值</v>
      </c>
      <c r="O887" s="174" t="str">
        <f>O891</f>
        <v>YBP-4400*2300*2650</v>
      </c>
      <c r="P887" s="157" t="s">
        <v>2209</v>
      </c>
      <c r="Q887" s="300">
        <f>IF(P887=304,V886,IF(P887=201,T886,IF(P887="彩钢板",P886,IF(P887="敷铝锌贴木条",Q886,IF(P887="金属雕花",U886,IF(P887="GRC",R886,IF(P887="水泥变",S886,)))))))</f>
        <v>1650</v>
      </c>
      <c r="R887" s="161">
        <f>(MID(C887,FIND("-",C887)+1,FIND("*",C887)-FIND("-",C887)-1)*MID(C887,FIND("*",C887)+1,FIND("*",MID(C887,FIND("*",C887)+1,30))-1))/1000000*IF(ROUND(RIGHT(C887,4),0)&gt;2650,1/2.65*2.95,1)</f>
        <v>10.119999999999999</v>
      </c>
    </row>
    <row r="888" spans="1:22" s="175" customFormat="1" ht="16.5" customHeight="1" x14ac:dyDescent="0.2">
      <c r="A888" s="38">
        <f>COUNTIF($J$1:J888,"!")</f>
        <v>56</v>
      </c>
      <c r="B888" s="163" t="str">
        <f>IFERROR(VLOOKUP(C888,元件库!$B:$O,3,FALSE),"")</f>
        <v>铜排</v>
      </c>
      <c r="C888" s="164" t="s">
        <v>1889</v>
      </c>
      <c r="D888" s="165" t="str">
        <f>IFERROR(VLOOKUP(C888,元件库!$B:$O,2,FALSE),"")</f>
        <v>欣利铜材</v>
      </c>
      <c r="E888" s="166" t="str">
        <f>IF(D888="欣利铜材","米",IF(B888="氧化锌避雷器","组","只"))</f>
        <v>米</v>
      </c>
      <c r="F888" s="166">
        <v>8</v>
      </c>
      <c r="G888" s="42">
        <f>IFERROR(J888*K888,"")</f>
        <v>182.62799999999999</v>
      </c>
      <c r="H888" s="42">
        <f>IFERROR(G888*F888,"")</f>
        <v>1461.0239999999999</v>
      </c>
      <c r="I888" s="167"/>
      <c r="J888" s="168">
        <f>P$1</f>
        <v>1</v>
      </c>
      <c r="K888" s="169">
        <f>IFERROR(M888*L888,"")</f>
        <v>182.62799999999999</v>
      </c>
      <c r="L888" s="170">
        <f>IFERROR(VLOOKUP(C888,元件库!$B:$O,10,FALSE),"1.00")</f>
        <v>1</v>
      </c>
      <c r="M888" s="171">
        <f>IFERROR(VLOOKUP(C888,元件库!$B:$O,11,FALSE),"")</f>
        <v>182.62799999999999</v>
      </c>
      <c r="N888" s="172" t="str">
        <f ca="1">IF(AND(ISNUMBER(FIND("IF",_xlfn.FORMULATEXT(L888))),ISNUMBER(FIND("IF",_xlfn.FORMULATEXT(M888)))),"","值")</f>
        <v/>
      </c>
      <c r="O888" s="174" t="str">
        <f>O891</f>
        <v>YBP-4400*2300*2650</v>
      </c>
    </row>
    <row r="889" spans="1:22" s="173" customFormat="1" ht="16.5" customHeight="1" x14ac:dyDescent="0.2">
      <c r="A889" s="38">
        <f>COUNTIF($J$1:J889,"!")</f>
        <v>56</v>
      </c>
      <c r="B889" s="163" t="str">
        <f>IFERROR(VLOOKUP(C889,元件库!$B:$O,3,FALSE),"")</f>
        <v>铜排</v>
      </c>
      <c r="C889" s="164" t="s">
        <v>1889</v>
      </c>
      <c r="D889" s="165" t="str">
        <f>IFERROR(VLOOKUP(C889,元件库!$B:$O,2,FALSE),"")</f>
        <v>欣利铜材</v>
      </c>
      <c r="E889" s="166" t="s">
        <v>39</v>
      </c>
      <c r="F889" s="166">
        <v>10</v>
      </c>
      <c r="G889" s="42">
        <f>IFERROR(J889*K889,"")</f>
        <v>182.62799999999999</v>
      </c>
      <c r="H889" s="42">
        <f>IFERROR(G889*F889,"")</f>
        <v>1826.2799999999997</v>
      </c>
      <c r="I889" s="167"/>
      <c r="J889" s="168">
        <f>P$1</f>
        <v>1</v>
      </c>
      <c r="K889" s="169">
        <f>IFERROR(M889*L889,"")</f>
        <v>182.62799999999999</v>
      </c>
      <c r="L889" s="170">
        <f>IFERROR(VLOOKUP(C889,元件库!$B:$O,10,FALSE),"1.00")</f>
        <v>1</v>
      </c>
      <c r="M889" s="171">
        <f>IFERROR(VLOOKUP(C889,元件库!$B:$O,11,FALSE),"")</f>
        <v>182.62799999999999</v>
      </c>
      <c r="N889" s="172" t="str">
        <f ca="1">IF(AND(ISNUMBER(FIND("IF",_xlfn.FORMULATEXT(L889))),ISNUMBER(FIND("IF",_xlfn.FORMULATEXT(M889)))),"","值")</f>
        <v/>
      </c>
      <c r="O889" s="174" t="str">
        <f>O891</f>
        <v>YBP-4400*2300*2650</v>
      </c>
      <c r="P889" s="161"/>
    </row>
    <row r="890" spans="1:22" ht="16.5" customHeight="1" x14ac:dyDescent="0.2">
      <c r="A890" s="38">
        <f>COUNTIF($J$1:J890,"!")</f>
        <v>56</v>
      </c>
      <c r="B890" s="177" t="s">
        <v>107</v>
      </c>
      <c r="C890" s="164"/>
      <c r="D890" s="166"/>
      <c r="E890" s="166"/>
      <c r="F890" s="166"/>
      <c r="G890" s="42"/>
      <c r="H890" s="42"/>
      <c r="I890" s="178">
        <f>SUM(H887:H890)</f>
        <v>19150.403999999999</v>
      </c>
      <c r="J890" s="168"/>
      <c r="K890" s="169"/>
      <c r="L890" s="170"/>
      <c r="M890" s="171"/>
      <c r="O890" s="174"/>
      <c r="P890" s="162"/>
      <c r="Q890" s="157"/>
    </row>
    <row r="891" spans="1:22" ht="16.5" customHeight="1" x14ac:dyDescent="0.2">
      <c r="A891" s="38">
        <f>COUNTIF($J$1:J891,"!")</f>
        <v>56</v>
      </c>
      <c r="B891" s="179" t="s">
        <v>47</v>
      </c>
      <c r="C891" s="164"/>
      <c r="D891" s="166"/>
      <c r="E891" s="166"/>
      <c r="F891" s="166"/>
      <c r="G891" s="42"/>
      <c r="H891" s="42">
        <f>IFERROR(J891*K891*L891,"")</f>
        <v>1500</v>
      </c>
      <c r="I891" s="167"/>
      <c r="J891" s="168">
        <f>P$1</f>
        <v>1</v>
      </c>
      <c r="K891" s="169">
        <f>IFERROR(M891*L891,"")</f>
        <v>1500</v>
      </c>
      <c r="L891" s="170" t="str">
        <f>IFERROR(VLOOKUP(C891,元件库!$B:$O,10,FALSE),"1.00")</f>
        <v>1.00</v>
      </c>
      <c r="M891" s="171">
        <v>1500</v>
      </c>
      <c r="O891" s="174" t="str">
        <f>LOOKUP(0,0/((A886:A890=A891)*(B886:B890="壳体W*D*H")),C886:C890)</f>
        <v>YBP-4400*2300*2650</v>
      </c>
    </row>
    <row r="892" spans="1:22" s="161" customFormat="1" ht="16.5" customHeight="1" x14ac:dyDescent="0.2">
      <c r="A892" s="38">
        <f>COUNTIF($J$1:J892,"!")</f>
        <v>56</v>
      </c>
      <c r="B892" s="179" t="s">
        <v>49</v>
      </c>
      <c r="C892" s="164"/>
      <c r="D892" s="166"/>
      <c r="E892" s="166"/>
      <c r="F892" s="166"/>
      <c r="G892" s="42"/>
      <c r="H892" s="42">
        <f>IFERROR(J892*K892*L892,"")</f>
        <v>500</v>
      </c>
      <c r="I892" s="167"/>
      <c r="J892" s="168">
        <f>P$1</f>
        <v>1</v>
      </c>
      <c r="K892" s="169">
        <f>IFERROR(M892*L892,"")</f>
        <v>500</v>
      </c>
      <c r="L892" s="170" t="str">
        <f>IFERROR(VLOOKUP(C892,元件库!$B:$O,10,FALSE),"1.00")</f>
        <v>1.00</v>
      </c>
      <c r="M892" s="171">
        <v>500</v>
      </c>
      <c r="N892" s="181"/>
      <c r="O892" s="174" t="str">
        <f>O891</f>
        <v>YBP-4400*2300*2650</v>
      </c>
      <c r="Q892" s="162"/>
      <c r="R892" s="162"/>
      <c r="S892" s="162"/>
    </row>
    <row r="893" spans="1:22" s="161" customFormat="1" ht="16.5" customHeight="1" x14ac:dyDescent="0.2">
      <c r="A893" s="38">
        <f>COUNTIF($J$1:J893,"!")</f>
        <v>56</v>
      </c>
      <c r="B893" s="179" t="s">
        <v>50</v>
      </c>
      <c r="C893" s="164"/>
      <c r="D893" s="166"/>
      <c r="E893" s="166"/>
      <c r="F893" s="166"/>
      <c r="G893" s="42"/>
      <c r="H893" s="42">
        <f>IFERROR(J893*K893*L893,"")</f>
        <v>300</v>
      </c>
      <c r="I893" s="167"/>
      <c r="J893" s="168">
        <f>P$1</f>
        <v>1</v>
      </c>
      <c r="K893" s="169">
        <f>IFERROR(M893*L893,"")</f>
        <v>300</v>
      </c>
      <c r="L893" s="170" t="str">
        <f>IFERROR(VLOOKUP(C893,元件库!$B:$O,10,FALSE),"1.00")</f>
        <v>1.00</v>
      </c>
      <c r="M893" s="171">
        <v>300</v>
      </c>
      <c r="N893" s="181"/>
      <c r="O893" s="174"/>
      <c r="Q893" s="162"/>
      <c r="R893" s="162"/>
      <c r="S893" s="162"/>
    </row>
    <row r="894" spans="1:22" s="161" customFormat="1" ht="16.5" customHeight="1" x14ac:dyDescent="0.2">
      <c r="A894" s="38">
        <f>COUNTIF($J$1:J894,"!")</f>
        <v>56</v>
      </c>
      <c r="B894" s="179" t="s">
        <v>79</v>
      </c>
      <c r="C894" s="164"/>
      <c r="D894" s="166"/>
      <c r="E894" s="166"/>
      <c r="F894" s="166"/>
      <c r="G894" s="42"/>
      <c r="H894" s="42">
        <f>K894*L894</f>
        <v>2574.0484799999999</v>
      </c>
      <c r="I894" s="167"/>
      <c r="J894" s="168"/>
      <c r="K894" s="169">
        <f>SUM(H891:H893)+I890</f>
        <v>21450.403999999999</v>
      </c>
      <c r="L894" s="279">
        <f>R$1</f>
        <v>0.12</v>
      </c>
      <c r="M894" s="171"/>
      <c r="N894" s="181"/>
      <c r="O894" s="174"/>
      <c r="Q894" s="162"/>
      <c r="R894" s="162"/>
      <c r="S894" s="162"/>
    </row>
    <row r="895" spans="1:22" ht="16.5" customHeight="1" x14ac:dyDescent="0.2">
      <c r="A895" s="38">
        <f>COUNTIF($J$1:J895,"!")</f>
        <v>56</v>
      </c>
      <c r="B895" s="179" t="s">
        <v>108</v>
      </c>
      <c r="C895" s="164"/>
      <c r="D895" s="166"/>
      <c r="E895" s="166"/>
      <c r="F895" s="166"/>
      <c r="G895" s="184"/>
      <c r="H895" s="42">
        <f>K895*L895</f>
        <v>720.73357439999995</v>
      </c>
      <c r="I895" s="167"/>
      <c r="J895" s="168"/>
      <c r="K895" s="169">
        <f>H894+K894</f>
        <v>24024.45248</v>
      </c>
      <c r="L895" s="279">
        <f>T$1</f>
        <v>0.03</v>
      </c>
      <c r="M895" s="171"/>
    </row>
  </sheetData>
  <autoFilter ref="A1:N170"/>
  <phoneticPr fontId="25" type="noConversion"/>
  <dataValidations count="1">
    <dataValidation type="list" allowBlank="1" showInputMessage="1" showErrorMessage="1" sqref="P106 P219 P330 P441 P554 P665 P776 P887">
      <formula1>"304,201,彩钢板,敷铝锌贴木条,GRC,水泥变,冷轧板"</formula1>
    </dataValidation>
  </dataValidations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OFFSET(元件库!$B$1,MATCH(C2&amp;"*",元件库!$B:$B,0)-1,,IF(COUNTIF(元件库!$B:$B,C2&amp;"*")&gt;1,40,1))</xm:f>
          </x14:formula1>
          <xm:sqref>C2:C895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7"/>
  <dimension ref="A1:U152"/>
  <sheetViews>
    <sheetView showZeros="0" workbookViewId="0">
      <pane ySplit="1" topLeftCell="A2" activePane="bottomLeft" state="frozen"/>
      <selection activeCell="C27" sqref="C27"/>
      <selection pane="bottomLeft" activeCell="C22" sqref="C22"/>
    </sheetView>
  </sheetViews>
  <sheetFormatPr defaultColWidth="7" defaultRowHeight="12" x14ac:dyDescent="0.2"/>
  <cols>
    <col min="1" max="1" width="3.625" style="189" customWidth="1"/>
    <col min="2" max="2" width="14.125" style="190" customWidth="1"/>
    <col min="3" max="3" width="21.625" style="191" customWidth="1"/>
    <col min="4" max="4" width="11.625" style="192" customWidth="1"/>
    <col min="5" max="6" width="4.125" style="192" customWidth="1"/>
    <col min="7" max="8" width="9.625" style="193" customWidth="1"/>
    <col min="9" max="9" width="14.625" style="194" customWidth="1"/>
    <col min="10" max="10" width="4.625" style="189" customWidth="1"/>
    <col min="11" max="11" width="8.125" style="193" customWidth="1"/>
    <col min="12" max="12" width="5.125" style="193" customWidth="1"/>
    <col min="13" max="13" width="8.125" style="193" customWidth="1"/>
    <col min="14" max="14" width="3.625" style="161" customWidth="1"/>
    <col min="15" max="15" width="4.625" style="161" customWidth="1"/>
    <col min="16" max="17" width="4.625" style="162" customWidth="1"/>
    <col min="18" max="23" width="4.625" style="157" customWidth="1"/>
    <col min="24" max="16384" width="7" style="157"/>
  </cols>
  <sheetData>
    <row r="1" spans="1:2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7" t="s">
        <v>140</v>
      </c>
      <c r="O1" s="335" t="s">
        <v>18</v>
      </c>
      <c r="P1" s="336">
        <v>1</v>
      </c>
      <c r="Q1" s="335" t="s">
        <v>4030</v>
      </c>
      <c r="R1" s="336">
        <v>0.12</v>
      </c>
      <c r="S1" s="336" t="s">
        <v>80</v>
      </c>
      <c r="T1" s="336">
        <v>0.06</v>
      </c>
    </row>
    <row r="2" spans="1:21" s="162" customFormat="1" ht="16.5" customHeight="1" x14ac:dyDescent="0.15">
      <c r="A2" s="32">
        <f>COUNTIF($J$1:J2,"!")</f>
        <v>1</v>
      </c>
      <c r="B2" s="33" t="s">
        <v>4031</v>
      </c>
      <c r="C2" s="277" t="s">
        <v>4032</v>
      </c>
      <c r="D2" s="159"/>
      <c r="E2" s="34" t="s">
        <v>23</v>
      </c>
      <c r="F2" s="159">
        <v>2</v>
      </c>
      <c r="G2" s="36">
        <f>ROUND(SUM(H3:H28),0)</f>
        <v>25547</v>
      </c>
      <c r="H2" s="160" t="str">
        <f>IF(ISNUMBER(FIND(" ",C3)),MID(C3,1,FIND(" ",C3)-1),IF(ISNUMBER(FIND("电容柜",B2)),"GGJ",MID(C3,1,FIND("-",C3)-1)))</f>
        <v>KYN28A</v>
      </c>
      <c r="I2" s="47" t="str">
        <f>MID(C3,IF(LEN(C3)-LEN(H2)&gt;3,LEN(H2)+2,1),30)</f>
        <v>800*1500*2300</v>
      </c>
      <c r="J2" s="48" t="s">
        <v>24</v>
      </c>
      <c r="K2" s="49"/>
      <c r="L2" s="50"/>
      <c r="M2" s="51"/>
      <c r="N2" s="172"/>
      <c r="O2" s="161"/>
    </row>
    <row r="3" spans="1:21" s="175" customFormat="1" ht="16.5" customHeight="1" x14ac:dyDescent="0.2">
      <c r="A3" s="38">
        <f>COUNTIF($J$1:J3,"!")</f>
        <v>1</v>
      </c>
      <c r="B3" s="163" t="str">
        <f>IFERROR(VLOOKUP(C3,元件库!$B:$O,3,FALSE),"")</f>
        <v>壳体W*D*H</v>
      </c>
      <c r="C3" s="164" t="s">
        <v>4033</v>
      </c>
      <c r="D3" s="165" t="str">
        <f>IFERROR(VLOOKUP(C3,元件库!$B:$O,2,FALSE),"")</f>
        <v>精益联合集团</v>
      </c>
      <c r="E3" s="166" t="str">
        <f t="shared" ref="E3:E23" si="0">IF(D3="欣利铜材","米",IF(B3="氧化锌避雷器","组","只"))</f>
        <v>只</v>
      </c>
      <c r="F3" s="166">
        <v>1</v>
      </c>
      <c r="G3" s="42">
        <f t="shared" ref="G3:G23" si="1">IFERROR(J3*K3,"")</f>
        <v>4560</v>
      </c>
      <c r="H3" s="42">
        <f t="shared" ref="H3:H23" si="2">IFERROR(G3*F3,"")</f>
        <v>4560</v>
      </c>
      <c r="I3" s="167"/>
      <c r="J3" s="168">
        <f t="shared" ref="J3:J23" si="3">P$1</f>
        <v>1</v>
      </c>
      <c r="K3" s="169">
        <f t="shared" ref="K3:K23" si="4">IFERROR(M3*L3,"")</f>
        <v>4560</v>
      </c>
      <c r="L3" s="170">
        <v>0.95</v>
      </c>
      <c r="M3" s="171">
        <f>IFERROR(VLOOKUP(C3,元件库!$B:$O,11,FALSE),"")</f>
        <v>4800</v>
      </c>
      <c r="N3" s="172" t="str">
        <f t="shared" ref="N3:N23" ca="1" si="5">IF(AND(ISNUMBER(FIND("IF",_xlfn.FORMULATEXT(L3))),ISNUMBER(FIND("IF",_xlfn.FORMULATEXT(M3)))),"","值")</f>
        <v>值</v>
      </c>
      <c r="O3" s="157"/>
      <c r="U3" s="162"/>
    </row>
    <row r="4" spans="1:21" s="175" customFormat="1" ht="16.5" customHeight="1" x14ac:dyDescent="0.2">
      <c r="A4" s="38">
        <f>COUNTIF($J$1:J4,"!")</f>
        <v>1</v>
      </c>
      <c r="B4" s="163" t="str">
        <f>IFERROR(VLOOKUP(C4,元件库!$B:$O,3,FALSE),"")</f>
        <v>封板</v>
      </c>
      <c r="C4" s="164" t="s">
        <v>4034</v>
      </c>
      <c r="D4" s="165" t="str">
        <f>IFERROR(VLOOKUP(C4,元件库!$B:$O,2,FALSE),"")</f>
        <v>精益联合集团</v>
      </c>
      <c r="E4" s="166" t="str">
        <f t="shared" si="0"/>
        <v>只</v>
      </c>
      <c r="F4" s="166">
        <v>2</v>
      </c>
      <c r="G4" s="42">
        <f t="shared" si="1"/>
        <v>380</v>
      </c>
      <c r="H4" s="42">
        <f t="shared" si="2"/>
        <v>760</v>
      </c>
      <c r="I4" s="167"/>
      <c r="J4" s="168">
        <f t="shared" si="3"/>
        <v>1</v>
      </c>
      <c r="K4" s="169">
        <f t="shared" si="4"/>
        <v>380</v>
      </c>
      <c r="L4" s="170">
        <f>IFERROR(VLOOKUP(C4,元件库!$B:$O,10,FALSE),"1.00")</f>
        <v>1</v>
      </c>
      <c r="M4" s="171">
        <f>IFERROR(VLOOKUP(C4,元件库!$B:$O,11,FALSE),"")</f>
        <v>380</v>
      </c>
      <c r="N4" s="172" t="str">
        <f t="shared" ca="1" si="5"/>
        <v/>
      </c>
      <c r="O4" s="157"/>
      <c r="U4" s="162"/>
    </row>
    <row r="5" spans="1:21" s="175" customFormat="1" ht="16.5" customHeight="1" x14ac:dyDescent="0.2">
      <c r="A5" s="38">
        <f>COUNTIF($J$1:J5,"!")</f>
        <v>1</v>
      </c>
      <c r="B5" s="163" t="str">
        <f>IFERROR(VLOOKUP(C5,元件库!$B:$O,3,FALSE),"")</f>
        <v>真空断路器</v>
      </c>
      <c r="C5" s="164" t="s">
        <v>3944</v>
      </c>
      <c r="D5" s="165" t="s">
        <v>4035</v>
      </c>
      <c r="E5" s="166" t="str">
        <f t="shared" si="0"/>
        <v>只</v>
      </c>
      <c r="F5" s="166">
        <v>1</v>
      </c>
      <c r="G5" s="42">
        <f t="shared" si="1"/>
        <v>5600</v>
      </c>
      <c r="H5" s="42">
        <f t="shared" si="2"/>
        <v>5600</v>
      </c>
      <c r="I5" s="167"/>
      <c r="J5" s="168">
        <f t="shared" si="3"/>
        <v>1</v>
      </c>
      <c r="K5" s="169">
        <f t="shared" si="4"/>
        <v>5600</v>
      </c>
      <c r="L5" s="170">
        <f>IFERROR(VLOOKUP(C5,元件库!$B:$O,10,FALSE),"1.00")</f>
        <v>1</v>
      </c>
      <c r="M5" s="171">
        <f>IFERROR(VLOOKUP(C5,元件库!$B:$O,11,FALSE),"")</f>
        <v>5600</v>
      </c>
      <c r="N5" s="172" t="str">
        <f t="shared" ca="1" si="5"/>
        <v/>
      </c>
      <c r="O5" s="157"/>
      <c r="U5" s="162"/>
    </row>
    <row r="6" spans="1:21" s="175" customFormat="1" ht="16.5" customHeight="1" x14ac:dyDescent="0.2">
      <c r="A6" s="38">
        <f>COUNTIF($J$1:J6,"!")</f>
        <v>1</v>
      </c>
      <c r="B6" s="163" t="str">
        <f>IFERROR(VLOOKUP(C6,元件库!$B:$O,3,FALSE),"")</f>
        <v>微机保护装置</v>
      </c>
      <c r="C6" s="164" t="s">
        <v>4036</v>
      </c>
      <c r="D6" s="165" t="str">
        <f>IFERROR(VLOOKUP(C6,元件库!$B:$O,2,FALSE),"")</f>
        <v>上海知棋</v>
      </c>
      <c r="E6" s="166" t="str">
        <f t="shared" si="0"/>
        <v>只</v>
      </c>
      <c r="F6" s="166">
        <v>1</v>
      </c>
      <c r="G6" s="42">
        <f t="shared" si="1"/>
        <v>1500</v>
      </c>
      <c r="H6" s="42">
        <f t="shared" si="2"/>
        <v>1500</v>
      </c>
      <c r="I6" s="167"/>
      <c r="J6" s="168">
        <f t="shared" si="3"/>
        <v>1</v>
      </c>
      <c r="K6" s="169">
        <f t="shared" si="4"/>
        <v>1500</v>
      </c>
      <c r="L6" s="170">
        <f>IFERROR(VLOOKUP(C6,元件库!$B:$O,10,FALSE),"1.00")</f>
        <v>1</v>
      </c>
      <c r="M6" s="171">
        <f>IFERROR(VLOOKUP(C6,元件库!$B:$O,11,FALSE),"")</f>
        <v>1500</v>
      </c>
      <c r="N6" s="172" t="str">
        <f t="shared" ca="1" si="5"/>
        <v/>
      </c>
      <c r="O6" s="157"/>
      <c r="U6" s="162"/>
    </row>
    <row r="7" spans="1:21" s="175" customFormat="1" ht="16.5" customHeight="1" x14ac:dyDescent="0.2">
      <c r="A7" s="38">
        <f>COUNTIF($J$1:J7,"!")</f>
        <v>1</v>
      </c>
      <c r="B7" s="163" t="str">
        <f>IFERROR(VLOOKUP(C7,元件库!$B:$O,3,FALSE),"")</f>
        <v>电流互感器</v>
      </c>
      <c r="C7" s="164" t="s">
        <v>4037</v>
      </c>
      <c r="D7" s="165" t="s">
        <v>4038</v>
      </c>
      <c r="E7" s="166" t="str">
        <f t="shared" si="0"/>
        <v>只</v>
      </c>
      <c r="F7" s="166">
        <v>3</v>
      </c>
      <c r="G7" s="42">
        <f t="shared" si="1"/>
        <v>896</v>
      </c>
      <c r="H7" s="42">
        <f t="shared" si="2"/>
        <v>2688</v>
      </c>
      <c r="I7" s="167"/>
      <c r="J7" s="168">
        <f t="shared" si="3"/>
        <v>1</v>
      </c>
      <c r="K7" s="169">
        <f t="shared" si="4"/>
        <v>896</v>
      </c>
      <c r="L7" s="170">
        <f>IFERROR(VLOOKUP(C7,元件库!$B:$O,10,FALSE),"1.00")</f>
        <v>1</v>
      </c>
      <c r="M7" s="171">
        <f>IFERROR(VLOOKUP(C7,元件库!$B:$O,11,FALSE),"")</f>
        <v>896</v>
      </c>
      <c r="N7" s="172" t="str">
        <f t="shared" ca="1" si="5"/>
        <v/>
      </c>
      <c r="O7" s="157"/>
    </row>
    <row r="8" spans="1:21" s="175" customFormat="1" ht="16.5" customHeight="1" x14ac:dyDescent="0.2">
      <c r="A8" s="38">
        <f>COUNTIF($J$1:J8,"!")</f>
        <v>1</v>
      </c>
      <c r="B8" s="163" t="str">
        <f>IFERROR(VLOOKUP(C8,元件库!$B:$O,3,FALSE),"")</f>
        <v>电流.电压表</v>
      </c>
      <c r="C8" s="164" t="s">
        <v>4039</v>
      </c>
      <c r="D8" s="165" t="str">
        <f>IFERROR(VLOOKUP(C8,元件库!$B:$O,2,FALSE),"")</f>
        <v>精益联合集团</v>
      </c>
      <c r="E8" s="166" t="str">
        <f t="shared" si="0"/>
        <v>只</v>
      </c>
      <c r="F8" s="166">
        <v>3</v>
      </c>
      <c r="G8" s="42">
        <f t="shared" si="1"/>
        <v>13.750000000000002</v>
      </c>
      <c r="H8" s="42">
        <f t="shared" si="2"/>
        <v>41.250000000000007</v>
      </c>
      <c r="I8" s="167"/>
      <c r="J8" s="168">
        <f t="shared" si="3"/>
        <v>1</v>
      </c>
      <c r="K8" s="169">
        <f t="shared" si="4"/>
        <v>13.750000000000002</v>
      </c>
      <c r="L8" s="170">
        <f>IFERROR(VLOOKUP(C8,元件库!$B:$O,10,FALSE),"1.00")</f>
        <v>0.55000000000000004</v>
      </c>
      <c r="M8" s="171">
        <f>IFERROR(VLOOKUP(C8,元件库!$B:$O,11,FALSE),"")</f>
        <v>25</v>
      </c>
      <c r="N8" s="172" t="str">
        <f t="shared" ca="1" si="5"/>
        <v/>
      </c>
      <c r="O8" s="157"/>
    </row>
    <row r="9" spans="1:21" s="175" customFormat="1" ht="16.5" customHeight="1" x14ac:dyDescent="0.2">
      <c r="A9" s="38">
        <f>COUNTIF($J$1:J9,"!")</f>
        <v>1</v>
      </c>
      <c r="B9" s="163" t="str">
        <f>IFERROR(VLOOKUP(C9,元件库!$B:$O,3,FALSE),"")</f>
        <v>氧化锌避雷器</v>
      </c>
      <c r="C9" s="164" t="s">
        <v>4040</v>
      </c>
      <c r="D9" s="165" t="str">
        <f>IFERROR(VLOOKUP(C9,元件库!$B:$O,2,FALSE),"")</f>
        <v>雷恩电气</v>
      </c>
      <c r="E9" s="166" t="str">
        <f t="shared" si="0"/>
        <v>组</v>
      </c>
      <c r="F9" s="166">
        <v>1</v>
      </c>
      <c r="G9" s="42">
        <f t="shared" si="1"/>
        <v>200</v>
      </c>
      <c r="H9" s="42">
        <f t="shared" si="2"/>
        <v>200</v>
      </c>
      <c r="I9" s="167"/>
      <c r="J9" s="168">
        <f t="shared" si="3"/>
        <v>1</v>
      </c>
      <c r="K9" s="169">
        <f t="shared" si="4"/>
        <v>200</v>
      </c>
      <c r="L9" s="170">
        <f>IFERROR(VLOOKUP(C9,元件库!$B:$O,10,FALSE),"1.00")</f>
        <v>1</v>
      </c>
      <c r="M9" s="171">
        <f>IFERROR(VLOOKUP(C9,元件库!$B:$O,11,FALSE),"")</f>
        <v>200</v>
      </c>
      <c r="N9" s="172" t="str">
        <f t="shared" ca="1" si="5"/>
        <v/>
      </c>
      <c r="O9" s="157"/>
      <c r="U9" s="162"/>
    </row>
    <row r="10" spans="1:21" s="175" customFormat="1" ht="16.5" customHeight="1" x14ac:dyDescent="0.2">
      <c r="A10" s="38">
        <f>COUNTIF($J$1:J10,"!")</f>
        <v>1</v>
      </c>
      <c r="B10" s="163" t="str">
        <f>IFERROR(VLOOKUP(C10,元件库!$B:$O,3,FALSE),"")</f>
        <v>零序互感器</v>
      </c>
      <c r="C10" s="164" t="s">
        <v>4041</v>
      </c>
      <c r="D10" s="165" t="s">
        <v>4038</v>
      </c>
      <c r="E10" s="166" t="str">
        <f t="shared" si="0"/>
        <v>只</v>
      </c>
      <c r="F10" s="166">
        <v>1</v>
      </c>
      <c r="G10" s="42">
        <f t="shared" si="1"/>
        <v>280</v>
      </c>
      <c r="H10" s="42">
        <f t="shared" si="2"/>
        <v>280</v>
      </c>
      <c r="I10" s="167"/>
      <c r="J10" s="168">
        <f t="shared" si="3"/>
        <v>1</v>
      </c>
      <c r="K10" s="169">
        <f t="shared" si="4"/>
        <v>280</v>
      </c>
      <c r="L10" s="170">
        <f>IFERROR(VLOOKUP(C10,元件库!$B:$O,10,FALSE),"1.00")</f>
        <v>1</v>
      </c>
      <c r="M10" s="171">
        <f>IFERROR(VLOOKUP(C10,元件库!$B:$O,11,FALSE),"")</f>
        <v>280</v>
      </c>
      <c r="N10" s="172" t="str">
        <f t="shared" ca="1" si="5"/>
        <v/>
      </c>
      <c r="O10" s="157"/>
    </row>
    <row r="11" spans="1:21" s="175" customFormat="1" ht="16.5" customHeight="1" x14ac:dyDescent="0.2">
      <c r="A11" s="38">
        <f>COUNTIF($J$1:J11,"!")</f>
        <v>1</v>
      </c>
      <c r="B11" s="163" t="str">
        <f>IFERROR(VLOOKUP(C11,元件库!$B:$O,3,FALSE),"")</f>
        <v>静触头</v>
      </c>
      <c r="C11" s="164" t="s">
        <v>165</v>
      </c>
      <c r="D11" s="165" t="str">
        <f>IFERROR(VLOOKUP(C11,元件库!$B:$O,2,FALSE),"")</f>
        <v>福一开</v>
      </c>
      <c r="E11" s="166" t="str">
        <f t="shared" si="0"/>
        <v>只</v>
      </c>
      <c r="F11" s="166">
        <v>6</v>
      </c>
      <c r="G11" s="42">
        <f t="shared" si="1"/>
        <v>75</v>
      </c>
      <c r="H11" s="42">
        <f t="shared" si="2"/>
        <v>450</v>
      </c>
      <c r="I11" s="167"/>
      <c r="J11" s="168">
        <f t="shared" si="3"/>
        <v>1</v>
      </c>
      <c r="K11" s="169">
        <f t="shared" si="4"/>
        <v>75</v>
      </c>
      <c r="L11" s="170">
        <f>IFERROR(VLOOKUP(C11,元件库!$B:$O,10,FALSE),"1.00")</f>
        <v>1</v>
      </c>
      <c r="M11" s="171">
        <f>IFERROR(VLOOKUP(C11,元件库!$B:$O,11,FALSE),"")</f>
        <v>75</v>
      </c>
      <c r="N11" s="172" t="str">
        <f t="shared" ca="1" si="5"/>
        <v/>
      </c>
      <c r="O11" s="157"/>
      <c r="U11" s="162"/>
    </row>
    <row r="12" spans="1:21" s="175" customFormat="1" ht="16.5" customHeight="1" x14ac:dyDescent="0.2">
      <c r="A12" s="38">
        <f>COUNTIF($J$1:J12,"!")</f>
        <v>1</v>
      </c>
      <c r="B12" s="163" t="str">
        <f>IFERROR(VLOOKUP(C12,元件库!$B:$O,3,FALSE),"")</f>
        <v>触头盒</v>
      </c>
      <c r="C12" s="164" t="s">
        <v>4042</v>
      </c>
      <c r="D12" s="165" t="str">
        <f>IFERROR(VLOOKUP(C12,元件库!$B:$O,2,FALSE),"")</f>
        <v>福一开</v>
      </c>
      <c r="E12" s="166" t="str">
        <f t="shared" si="0"/>
        <v>只</v>
      </c>
      <c r="F12" s="166">
        <v>6</v>
      </c>
      <c r="G12" s="42">
        <f t="shared" si="1"/>
        <v>60</v>
      </c>
      <c r="H12" s="42">
        <f t="shared" si="2"/>
        <v>360</v>
      </c>
      <c r="I12" s="167"/>
      <c r="J12" s="168">
        <f t="shared" si="3"/>
        <v>1</v>
      </c>
      <c r="K12" s="169">
        <f t="shared" si="4"/>
        <v>60</v>
      </c>
      <c r="L12" s="170">
        <f>IFERROR(VLOOKUP(C12,元件库!$B:$O,10,FALSE),"1.00")</f>
        <v>1</v>
      </c>
      <c r="M12" s="171">
        <f>IFERROR(VLOOKUP(C12,元件库!$B:$O,11,FALSE),"")</f>
        <v>60</v>
      </c>
      <c r="N12" s="172" t="str">
        <f t="shared" ca="1" si="5"/>
        <v/>
      </c>
      <c r="O12" s="157"/>
      <c r="U12" s="162"/>
    </row>
    <row r="13" spans="1:21" s="175" customFormat="1" ht="16.5" customHeight="1" x14ac:dyDescent="0.2">
      <c r="A13" s="38">
        <f>COUNTIF($J$1:J13,"!")</f>
        <v>1</v>
      </c>
      <c r="B13" s="163" t="str">
        <f>IFERROR(VLOOKUP(C13,元件库!$B:$O,3,FALSE),"")</f>
        <v>穿墙套管</v>
      </c>
      <c r="C13" s="164" t="s">
        <v>135</v>
      </c>
      <c r="D13" s="165" t="str">
        <f>IFERROR(VLOOKUP(C13,元件库!$B:$O,2,FALSE),"")</f>
        <v>福一开</v>
      </c>
      <c r="E13" s="166" t="str">
        <f t="shared" si="0"/>
        <v>只</v>
      </c>
      <c r="F13" s="166">
        <v>3</v>
      </c>
      <c r="G13" s="42">
        <f t="shared" si="1"/>
        <v>45</v>
      </c>
      <c r="H13" s="42">
        <f t="shared" si="2"/>
        <v>135</v>
      </c>
      <c r="I13" s="167"/>
      <c r="J13" s="168">
        <f t="shared" si="3"/>
        <v>1</v>
      </c>
      <c r="K13" s="169">
        <f t="shared" si="4"/>
        <v>45</v>
      </c>
      <c r="L13" s="170">
        <f>IFERROR(VLOOKUP(C13,元件库!$B:$O,10,FALSE),"1.00")</f>
        <v>1</v>
      </c>
      <c r="M13" s="171">
        <f>IFERROR(VLOOKUP(C13,元件库!$B:$O,11,FALSE),"")</f>
        <v>45</v>
      </c>
      <c r="N13" s="172" t="str">
        <f t="shared" ca="1" si="5"/>
        <v/>
      </c>
      <c r="O13" s="157"/>
      <c r="U13" s="162"/>
    </row>
    <row r="14" spans="1:21" s="175" customFormat="1" ht="16.5" customHeight="1" x14ac:dyDescent="0.2">
      <c r="A14" s="38">
        <f>COUNTIF($J$1:J14,"!")</f>
        <v>1</v>
      </c>
      <c r="B14" s="163" t="str">
        <f>IFERROR(VLOOKUP(C14,元件库!$B:$O,3,FALSE),"")</f>
        <v>支柱绝缘子</v>
      </c>
      <c r="C14" s="164" t="s">
        <v>136</v>
      </c>
      <c r="D14" s="165" t="str">
        <f>IFERROR(VLOOKUP(C14,元件库!$B:$O,2,FALSE),"")</f>
        <v>福一开</v>
      </c>
      <c r="E14" s="166" t="str">
        <f t="shared" si="0"/>
        <v>只</v>
      </c>
      <c r="F14" s="166">
        <v>3</v>
      </c>
      <c r="G14" s="42">
        <f t="shared" si="1"/>
        <v>22</v>
      </c>
      <c r="H14" s="42">
        <f t="shared" si="2"/>
        <v>66</v>
      </c>
      <c r="I14" s="167"/>
      <c r="J14" s="168">
        <f t="shared" si="3"/>
        <v>1</v>
      </c>
      <c r="K14" s="169">
        <f t="shared" si="4"/>
        <v>22</v>
      </c>
      <c r="L14" s="170">
        <f>IFERROR(VLOOKUP(C14,元件库!$B:$O,10,FALSE),"1.00")</f>
        <v>1</v>
      </c>
      <c r="M14" s="171">
        <f>IFERROR(VLOOKUP(C14,元件库!$B:$O,11,FALSE),"")</f>
        <v>22</v>
      </c>
      <c r="N14" s="172" t="str">
        <f t="shared" ca="1" si="5"/>
        <v/>
      </c>
      <c r="O14" s="157"/>
      <c r="U14" s="162"/>
    </row>
    <row r="15" spans="1:21" s="175" customFormat="1" ht="16.5" customHeight="1" x14ac:dyDescent="0.2">
      <c r="A15" s="38">
        <f>COUNTIF($J$1:J15,"!")</f>
        <v>1</v>
      </c>
      <c r="B15" s="163" t="str">
        <f>IFERROR(VLOOKUP(C15,元件库!$B:$O,3,FALSE),"")</f>
        <v>电压传感器</v>
      </c>
      <c r="C15" s="164" t="s">
        <v>137</v>
      </c>
      <c r="D15" s="165" t="str">
        <f>IFERROR(VLOOKUP(C15,元件库!$B:$O,2,FALSE),"")</f>
        <v>福一开</v>
      </c>
      <c r="E15" s="166" t="str">
        <f t="shared" si="0"/>
        <v>只</v>
      </c>
      <c r="F15" s="166">
        <v>1</v>
      </c>
      <c r="G15" s="42">
        <f t="shared" si="1"/>
        <v>93</v>
      </c>
      <c r="H15" s="42">
        <f t="shared" si="2"/>
        <v>93</v>
      </c>
      <c r="I15" s="167"/>
      <c r="J15" s="168">
        <f t="shared" si="3"/>
        <v>1</v>
      </c>
      <c r="K15" s="169">
        <f t="shared" si="4"/>
        <v>93</v>
      </c>
      <c r="L15" s="170">
        <f>IFERROR(VLOOKUP(C15,元件库!$B:$O,10,FALSE),"1.00")</f>
        <v>1</v>
      </c>
      <c r="M15" s="171">
        <f>IFERROR(VLOOKUP(C15,元件库!$B:$O,11,FALSE),"")</f>
        <v>93</v>
      </c>
      <c r="N15" s="172" t="str">
        <f t="shared" ca="1" si="5"/>
        <v/>
      </c>
      <c r="O15" s="157"/>
      <c r="U15" s="162"/>
    </row>
    <row r="16" spans="1:21" s="175" customFormat="1" ht="16.5" customHeight="1" x14ac:dyDescent="0.2">
      <c r="A16" s="38">
        <f>COUNTIF($J$1:J16,"!")</f>
        <v>1</v>
      </c>
      <c r="B16" s="163" t="str">
        <f>IFERROR(VLOOKUP(C16,元件库!$B:$O,3,FALSE),"")</f>
        <v>带电显示器</v>
      </c>
      <c r="C16" s="164" t="s">
        <v>4043</v>
      </c>
      <c r="D16" s="165" t="str">
        <f>IFERROR(VLOOKUP(C16,元件库!$B:$O,2,FALSE),"")</f>
        <v>江山鑫源</v>
      </c>
      <c r="E16" s="166" t="str">
        <f t="shared" si="0"/>
        <v>只</v>
      </c>
      <c r="F16" s="166">
        <v>1</v>
      </c>
      <c r="G16" s="42">
        <f t="shared" si="1"/>
        <v>33</v>
      </c>
      <c r="H16" s="42">
        <f t="shared" si="2"/>
        <v>33</v>
      </c>
      <c r="I16" s="167"/>
      <c r="J16" s="168">
        <f t="shared" si="3"/>
        <v>1</v>
      </c>
      <c r="K16" s="169">
        <f t="shared" si="4"/>
        <v>33</v>
      </c>
      <c r="L16" s="170">
        <f>IFERROR(VLOOKUP(C16,元件库!$B:$O,10,FALSE),"1.00")</f>
        <v>1</v>
      </c>
      <c r="M16" s="171">
        <f>IFERROR(VLOOKUP(C16,元件库!$B:$O,11,FALSE),"")</f>
        <v>33</v>
      </c>
      <c r="N16" s="172" t="str">
        <f t="shared" ca="1" si="5"/>
        <v/>
      </c>
      <c r="O16" s="157"/>
      <c r="U16" s="162"/>
    </row>
    <row r="17" spans="1:21" s="175" customFormat="1" ht="16.5" customHeight="1" x14ac:dyDescent="0.2">
      <c r="A17" s="38">
        <f>COUNTIF($J$1:J17,"!")</f>
        <v>1</v>
      </c>
      <c r="B17" s="163" t="str">
        <f>IFERROR(VLOOKUP(C17,元件库!$B:$O,3,FALSE),"")</f>
        <v>电磁锁</v>
      </c>
      <c r="C17" s="164" t="s">
        <v>98</v>
      </c>
      <c r="D17" s="165" t="str">
        <f>IFERROR(VLOOKUP(C17,元件库!$B:$O,2,FALSE),"")</f>
        <v>哈陆拉</v>
      </c>
      <c r="E17" s="166" t="str">
        <f t="shared" si="0"/>
        <v>只</v>
      </c>
      <c r="F17" s="166">
        <v>1</v>
      </c>
      <c r="G17" s="42">
        <f t="shared" si="1"/>
        <v>55</v>
      </c>
      <c r="H17" s="42">
        <f t="shared" si="2"/>
        <v>55</v>
      </c>
      <c r="I17" s="167"/>
      <c r="J17" s="168">
        <f t="shared" si="3"/>
        <v>1</v>
      </c>
      <c r="K17" s="169">
        <f t="shared" si="4"/>
        <v>55</v>
      </c>
      <c r="L17" s="170">
        <f>IFERROR(VLOOKUP(C17,元件库!$B:$O,10,FALSE),"1.00")</f>
        <v>1</v>
      </c>
      <c r="M17" s="171">
        <f>IFERROR(VLOOKUP(C17,元件库!$B:$O,11,FALSE),"")</f>
        <v>55</v>
      </c>
      <c r="N17" s="172" t="str">
        <f t="shared" ca="1" si="5"/>
        <v/>
      </c>
      <c r="O17" s="157"/>
      <c r="U17" s="162"/>
    </row>
    <row r="18" spans="1:21" s="175" customFormat="1" ht="16.5" customHeight="1" x14ac:dyDescent="0.2">
      <c r="A18" s="38">
        <f>COUNTIF($J$1:J18,"!")</f>
        <v>1</v>
      </c>
      <c r="B18" s="163" t="str">
        <f>IFERROR(VLOOKUP(C18,元件库!$B:$O,3,FALSE),"")</f>
        <v>温湿度控制器</v>
      </c>
      <c r="C18" s="164" t="s">
        <v>4044</v>
      </c>
      <c r="D18" s="165" t="str">
        <f>IFERROR(VLOOKUP(C18,元件库!$B:$O,2,FALSE),"")</f>
        <v>实德电气</v>
      </c>
      <c r="E18" s="166" t="str">
        <f t="shared" si="0"/>
        <v>只</v>
      </c>
      <c r="F18" s="166">
        <v>1</v>
      </c>
      <c r="G18" s="42">
        <f t="shared" si="1"/>
        <v>80</v>
      </c>
      <c r="H18" s="42">
        <f t="shared" si="2"/>
        <v>80</v>
      </c>
      <c r="I18" s="167"/>
      <c r="J18" s="168">
        <f t="shared" si="3"/>
        <v>1</v>
      </c>
      <c r="K18" s="169">
        <f t="shared" si="4"/>
        <v>80</v>
      </c>
      <c r="L18" s="170">
        <f>IFERROR(VLOOKUP(C18,元件库!$B:$O,10,FALSE),"1.00")</f>
        <v>1</v>
      </c>
      <c r="M18" s="171">
        <f>IFERROR(VLOOKUP(C18,元件库!$B:$O,11,FALSE),"")</f>
        <v>80</v>
      </c>
      <c r="N18" s="172" t="str">
        <f t="shared" ca="1" si="5"/>
        <v/>
      </c>
      <c r="O18" s="157"/>
    </row>
    <row r="19" spans="1:21" s="175" customFormat="1" ht="16.5" customHeight="1" x14ac:dyDescent="0.2">
      <c r="A19" s="38">
        <f>COUNTIF($J$1:J19,"!")</f>
        <v>1</v>
      </c>
      <c r="B19" s="163" t="str">
        <f>IFERROR(VLOOKUP(C19,元件库!$B:$O,3,FALSE),"")</f>
        <v>加热器</v>
      </c>
      <c r="C19" s="164" t="s">
        <v>101</v>
      </c>
      <c r="D19" s="165" t="str">
        <f>IFERROR(VLOOKUP(C19,元件库!$B:$O,2,FALSE),"")</f>
        <v>实德电气</v>
      </c>
      <c r="E19" s="166" t="str">
        <f t="shared" si="0"/>
        <v>只</v>
      </c>
      <c r="F19" s="166">
        <v>2</v>
      </c>
      <c r="G19" s="42">
        <f t="shared" si="1"/>
        <v>18</v>
      </c>
      <c r="H19" s="42">
        <f t="shared" si="2"/>
        <v>36</v>
      </c>
      <c r="I19" s="167"/>
      <c r="J19" s="168">
        <f t="shared" si="3"/>
        <v>1</v>
      </c>
      <c r="K19" s="169">
        <f t="shared" si="4"/>
        <v>18</v>
      </c>
      <c r="L19" s="170">
        <f>IFERROR(VLOOKUP(C19,元件库!$B:$O,10,FALSE),"1.00")</f>
        <v>1</v>
      </c>
      <c r="M19" s="171">
        <f>IFERROR(VLOOKUP(C19,元件库!$B:$O,11,FALSE),"")</f>
        <v>18</v>
      </c>
      <c r="N19" s="172" t="str">
        <f t="shared" ca="1" si="5"/>
        <v/>
      </c>
      <c r="O19" s="157"/>
    </row>
    <row r="20" spans="1:21" s="175" customFormat="1" ht="16.5" customHeight="1" x14ac:dyDescent="0.2">
      <c r="A20" s="38">
        <f>COUNTIF($J$1:J20,"!")</f>
        <v>1</v>
      </c>
      <c r="B20" s="163" t="str">
        <f>IFERROR(VLOOKUP(C20,元件库!$B:$O,3,FALSE),"")</f>
        <v>高压热缩管</v>
      </c>
      <c r="C20" s="185" t="str">
        <f>"10KV"&amp;MID(C22,4,10)</f>
        <v>10KV-80*8</v>
      </c>
      <c r="D20" s="165" t="str">
        <f>IFERROR(VLOOKUP(C20,元件库!$B:$O,2,FALSE),"")</f>
        <v>精益联合集团</v>
      </c>
      <c r="E20" s="166" t="str">
        <f t="shared" si="0"/>
        <v>只</v>
      </c>
      <c r="F20" s="166">
        <f>ROUND(SUM(F21:F23),0)</f>
        <v>9</v>
      </c>
      <c r="G20" s="42">
        <f t="shared" si="1"/>
        <v>17</v>
      </c>
      <c r="H20" s="42">
        <f t="shared" si="2"/>
        <v>153</v>
      </c>
      <c r="I20" s="167"/>
      <c r="J20" s="168">
        <f t="shared" si="3"/>
        <v>1</v>
      </c>
      <c r="K20" s="169">
        <f t="shared" si="4"/>
        <v>17</v>
      </c>
      <c r="L20" s="170">
        <f>IFERROR(VLOOKUP(C20,元件库!$B:$O,10,FALSE),"1.00")</f>
        <v>1</v>
      </c>
      <c r="M20" s="171">
        <f>IFERROR(VLOOKUP(C20,元件库!$B:$O,11,FALSE),"")</f>
        <v>17</v>
      </c>
      <c r="N20" s="172" t="str">
        <f t="shared" ca="1" si="5"/>
        <v/>
      </c>
      <c r="O20" s="157"/>
    </row>
    <row r="21" spans="1:21" s="175" customFormat="1" ht="16.5" customHeight="1" x14ac:dyDescent="0.2">
      <c r="A21" s="38">
        <f>COUNTIF($J$1:J21,"!")</f>
        <v>1</v>
      </c>
      <c r="B21" s="163" t="str">
        <f>IFERROR(VLOOKUP(C21,元件库!$B:$O,3,FALSE),"")</f>
        <v>铜排</v>
      </c>
      <c r="C21" s="185" t="s">
        <v>4045</v>
      </c>
      <c r="D21" s="165" t="str">
        <f>IFERROR(VLOOKUP(C21,元件库!$B:$O,2,FALSE),"")</f>
        <v>欣利铜材</v>
      </c>
      <c r="E21" s="166" t="str">
        <f t="shared" si="0"/>
        <v>米</v>
      </c>
      <c r="F21" s="166">
        <v>6</v>
      </c>
      <c r="G21" s="42">
        <f t="shared" si="1"/>
        <v>324.67199999999997</v>
      </c>
      <c r="H21" s="42">
        <f t="shared" si="2"/>
        <v>1948.0319999999997</v>
      </c>
      <c r="I21" s="167"/>
      <c r="J21" s="168">
        <f t="shared" si="3"/>
        <v>1</v>
      </c>
      <c r="K21" s="169">
        <f t="shared" si="4"/>
        <v>324.67199999999997</v>
      </c>
      <c r="L21" s="170">
        <f>IFERROR(VLOOKUP(C21,元件库!$B:$O,10,FALSE),"1.00")</f>
        <v>1</v>
      </c>
      <c r="M21" s="171">
        <f>IFERROR(VLOOKUP(C21,元件库!$B:$O,11,FALSE),"")</f>
        <v>324.67199999999997</v>
      </c>
      <c r="N21" s="172" t="str">
        <f t="shared" ca="1" si="5"/>
        <v/>
      </c>
      <c r="O21" s="174" t="str">
        <f>O23</f>
        <v>KYN28A-800*1500*2300</v>
      </c>
    </row>
    <row r="22" spans="1:21" s="175" customFormat="1" ht="16.5" customHeight="1" x14ac:dyDescent="0.2">
      <c r="A22" s="38">
        <f>COUNTIF($J$1:J22,"!")</f>
        <v>1</v>
      </c>
      <c r="B22" s="163" t="s">
        <v>4046</v>
      </c>
      <c r="C22" s="185" t="s">
        <v>4045</v>
      </c>
      <c r="D22" s="165" t="str">
        <f>IFERROR(VLOOKUP(C22,元件库!$B:$O,2,FALSE),"")</f>
        <v>欣利铜材</v>
      </c>
      <c r="E22" s="166" t="str">
        <f t="shared" si="0"/>
        <v>米</v>
      </c>
      <c r="F22" s="166">
        <f>1*MID(O22,FIND("-",O22)+1,FIND("*",O22)-FIND("-",O22)-1)/1000*IF(B22="水平排",3,1)+IF(AND(B22="零母排",VLOOKUP(A22,A$1:B19,2,FALSE)="低压进线柜"),1.5,0)</f>
        <v>2.4000000000000004</v>
      </c>
      <c r="G22" s="42">
        <f t="shared" si="1"/>
        <v>324.67199999999997</v>
      </c>
      <c r="H22" s="42">
        <f t="shared" si="2"/>
        <v>779.21280000000002</v>
      </c>
      <c r="I22" s="167"/>
      <c r="J22" s="168">
        <f t="shared" si="3"/>
        <v>1</v>
      </c>
      <c r="K22" s="169">
        <f t="shared" si="4"/>
        <v>324.67199999999997</v>
      </c>
      <c r="L22" s="170">
        <f>IFERROR(VLOOKUP(C22,元件库!$B:$O,10,FALSE),"1.00")</f>
        <v>1</v>
      </c>
      <c r="M22" s="171">
        <f>IFERROR(VLOOKUP(C22,元件库!$B:$O,11,FALSE),"")</f>
        <v>324.67199999999997</v>
      </c>
      <c r="N22" s="172" t="str">
        <f t="shared" ca="1" si="5"/>
        <v/>
      </c>
      <c r="O22" s="174" t="str">
        <f>O25</f>
        <v>KYN28A-800*1500*2300</v>
      </c>
    </row>
    <row r="23" spans="1:21" s="175" customFormat="1" ht="16.5" customHeight="1" x14ac:dyDescent="0.2">
      <c r="A23" s="38">
        <f>COUNTIF($J$1:J23,"!")</f>
        <v>1</v>
      </c>
      <c r="B23" s="163" t="s">
        <v>4047</v>
      </c>
      <c r="C23" s="185" t="s">
        <v>4048</v>
      </c>
      <c r="D23" s="165" t="str">
        <f>IFERROR(VLOOKUP(C23,元件库!$B:$O,2,FALSE),"")</f>
        <v>欣利铜材</v>
      </c>
      <c r="E23" s="166" t="str">
        <f t="shared" si="0"/>
        <v>米</v>
      </c>
      <c r="F23" s="166">
        <f>1*MID(O23,FIND("-",O23)+1,FIND("*",O23)-FIND("-",O23)-1)/1000*IF(B23="水平排",3,1)+IF(AND(B23="零母排",VLOOKUP(A23,A$1:B20,2,FALSE)="低压进线柜"),1.5,0)</f>
        <v>0.8</v>
      </c>
      <c r="G23" s="42">
        <f t="shared" si="1"/>
        <v>126.82499999999999</v>
      </c>
      <c r="H23" s="42">
        <f t="shared" si="2"/>
        <v>101.46</v>
      </c>
      <c r="I23" s="167"/>
      <c r="J23" s="168">
        <f t="shared" si="3"/>
        <v>1</v>
      </c>
      <c r="K23" s="169">
        <f t="shared" si="4"/>
        <v>126.82499999999999</v>
      </c>
      <c r="L23" s="170">
        <f>IFERROR(VLOOKUP(C23,元件库!$B:$O,10,FALSE),"1.00")</f>
        <v>1</v>
      </c>
      <c r="M23" s="171">
        <f>IFERROR(VLOOKUP(C23,元件库!$B:$O,11,FALSE),"")</f>
        <v>126.82499999999999</v>
      </c>
      <c r="N23" s="172" t="str">
        <f t="shared" ca="1" si="5"/>
        <v/>
      </c>
      <c r="O23" s="174" t="str">
        <f>O26</f>
        <v>KYN28A-800*1500*2300</v>
      </c>
    </row>
    <row r="24" spans="1:21" s="162" customFormat="1" ht="16.5" customHeight="1" x14ac:dyDescent="0.2">
      <c r="A24" s="38">
        <f>COUNTIF($J$1:J24,"!")</f>
        <v>1</v>
      </c>
      <c r="B24" s="177" t="s">
        <v>107</v>
      </c>
      <c r="C24" s="164"/>
      <c r="D24" s="166"/>
      <c r="E24" s="166"/>
      <c r="F24" s="166"/>
      <c r="G24" s="42"/>
      <c r="H24" s="42"/>
      <c r="I24" s="178">
        <f>SUM(H3:H24)</f>
        <v>19918.9548</v>
      </c>
      <c r="J24" s="168"/>
      <c r="K24" s="169"/>
      <c r="L24" s="170"/>
      <c r="M24" s="171"/>
      <c r="O24" s="161"/>
      <c r="P24" s="157"/>
    </row>
    <row r="25" spans="1:21" ht="16.5" customHeight="1" x14ac:dyDescent="0.2">
      <c r="A25" s="38">
        <f>COUNTIF($J$1:J25,"!")</f>
        <v>1</v>
      </c>
      <c r="B25" s="179" t="s">
        <v>47</v>
      </c>
      <c r="C25" s="164"/>
      <c r="D25" s="166"/>
      <c r="E25" s="166"/>
      <c r="F25" s="166"/>
      <c r="G25" s="42"/>
      <c r="H25" s="42">
        <f>IFERROR(J25*M25*L25,"")</f>
        <v>900</v>
      </c>
      <c r="I25" s="167"/>
      <c r="J25" s="168">
        <f>P$1</f>
        <v>1</v>
      </c>
      <c r="K25" s="169">
        <f>IFERROR(M25*L25,"")</f>
        <v>900</v>
      </c>
      <c r="L25" s="170" t="str">
        <f>IFERROR(VLOOKUP(C25,元件库!$B:$O,10,FALSE),"1.00")</f>
        <v>1.00</v>
      </c>
      <c r="M25" s="171">
        <f>IF(ISNUMBER(FIND("提升",VLOOKUP(A25,A$1:B24,2,FALSE))),IF(B25="成套费",400,200),IF(OR(ISNUMBER(FIND("XGN",O25)),ISNUMBER(FIND("HXGN",O25))),IF(B25="成套费",800,600),IF(ISNUMBER(FIND("KYN28",O25)),IF(B25="成套费",900,700),"")))</f>
        <v>900</v>
      </c>
      <c r="O25" s="180" t="str">
        <f>C3</f>
        <v>KYN28A-800*1500*2300</v>
      </c>
    </row>
    <row r="26" spans="1:21" s="161" customFormat="1" ht="16.5" customHeight="1" x14ac:dyDescent="0.2">
      <c r="A26" s="38">
        <f>COUNTIF($J$1:J26,"!")</f>
        <v>1</v>
      </c>
      <c r="B26" s="179" t="s">
        <v>49</v>
      </c>
      <c r="C26" s="164"/>
      <c r="D26" s="166"/>
      <c r="E26" s="166"/>
      <c r="F26" s="166"/>
      <c r="G26" s="42"/>
      <c r="H26" s="42">
        <f>IFERROR(J26*M26*L26,"")</f>
        <v>700</v>
      </c>
      <c r="I26" s="167"/>
      <c r="J26" s="168">
        <f>P$1</f>
        <v>1</v>
      </c>
      <c r="K26" s="169">
        <f>IFERROR(M26*L26,"")</f>
        <v>700</v>
      </c>
      <c r="L26" s="170" t="str">
        <f>IFERROR(VLOOKUP(C26,元件库!$B:$O,10,FALSE),"1.00")</f>
        <v>1.00</v>
      </c>
      <c r="M26" s="171">
        <f>IF(ISNUMBER(FIND("提升",VLOOKUP(A26,A$1:B25,2,FALSE))),IF(B26="成套费",400,200),IF(OR(ISNUMBER(FIND("XGN",O26)),ISNUMBER(FIND("HXGN",O26))),IF(B26="成套费",800,600),IF(ISNUMBER(FIND("KYN28",O26)),IF(B26="成套费",900,700),"")))</f>
        <v>700</v>
      </c>
      <c r="O26" s="174" t="str">
        <f>O25</f>
        <v>KYN28A-800*1500*2300</v>
      </c>
      <c r="P26" s="162"/>
      <c r="Q26" s="162"/>
    </row>
    <row r="27" spans="1:21" s="161" customFormat="1" ht="16.5" customHeight="1" x14ac:dyDescent="0.2">
      <c r="A27" s="38">
        <f>COUNTIF($J$1:J27,"!")</f>
        <v>1</v>
      </c>
      <c r="B27" s="179" t="s">
        <v>79</v>
      </c>
      <c r="C27" s="164"/>
      <c r="D27" s="166"/>
      <c r="E27" s="166"/>
      <c r="F27" s="166"/>
      <c r="G27" s="42"/>
      <c r="H27" s="42">
        <f>K27*L27</f>
        <v>2582.2745759999998</v>
      </c>
      <c r="I27" s="167"/>
      <c r="J27" s="168"/>
      <c r="K27" s="169">
        <f>SUM(H25:H26)+I24</f>
        <v>21518.9548</v>
      </c>
      <c r="L27" s="279">
        <f>R$1</f>
        <v>0.12</v>
      </c>
      <c r="M27" s="171"/>
      <c r="O27" s="181"/>
      <c r="P27" s="162"/>
      <c r="Q27" s="162"/>
    </row>
    <row r="28" spans="1:21" ht="16.5" customHeight="1" x14ac:dyDescent="0.2">
      <c r="A28" s="38">
        <f>COUNTIF($J$1:J28,"!")</f>
        <v>1</v>
      </c>
      <c r="B28" s="179" t="s">
        <v>108</v>
      </c>
      <c r="C28" s="164"/>
      <c r="D28" s="166"/>
      <c r="E28" s="166"/>
      <c r="F28" s="166"/>
      <c r="G28" s="184"/>
      <c r="H28" s="42">
        <f>K28*L28</f>
        <v>1446.07376256</v>
      </c>
      <c r="I28" s="167"/>
      <c r="J28" s="168"/>
      <c r="K28" s="169">
        <f>H27+K27</f>
        <v>24101.229375999999</v>
      </c>
      <c r="L28" s="279">
        <f>T$1</f>
        <v>0.06</v>
      </c>
      <c r="M28" s="171"/>
    </row>
    <row r="29" spans="1:21" s="162" customFormat="1" ht="16.5" customHeight="1" x14ac:dyDescent="0.15">
      <c r="A29" s="32">
        <f>COUNTIF($J$1:J29,"!")</f>
        <v>2</v>
      </c>
      <c r="B29" s="33" t="s">
        <v>4049</v>
      </c>
      <c r="C29" s="277" t="s">
        <v>4050</v>
      </c>
      <c r="D29" s="159"/>
      <c r="E29" s="34" t="s">
        <v>23</v>
      </c>
      <c r="F29" s="159">
        <v>2</v>
      </c>
      <c r="G29" s="36">
        <f>ROUND(SUM(H30:H53),0)</f>
        <v>20212</v>
      </c>
      <c r="H29" s="160" t="str">
        <f>IF(ISNUMBER(FIND(" ",C30)),MID(C30,1,FIND(" ",C30)-1),IF(ISNUMBER(FIND("电容柜",B29)),"GGJ",MID(C30,1,FIND("-",C30)-1)))</f>
        <v>KYN28A</v>
      </c>
      <c r="I29" s="47" t="str">
        <f>MID(C30,IF(LEN(C30)-LEN(H29)&gt;3,LEN(H29)+2,1),30)</f>
        <v>800*1500*2300</v>
      </c>
      <c r="J29" s="48" t="s">
        <v>24</v>
      </c>
      <c r="K29" s="49"/>
      <c r="L29" s="50"/>
      <c r="M29" s="51"/>
      <c r="N29" s="172"/>
      <c r="O29" s="161"/>
    </row>
    <row r="30" spans="1:21" s="175" customFormat="1" ht="16.5" customHeight="1" x14ac:dyDescent="0.2">
      <c r="A30" s="38">
        <f>COUNTIF($J$1:J30,"!")</f>
        <v>2</v>
      </c>
      <c r="B30" s="163" t="str">
        <f>IFERROR(VLOOKUP(C30,元件库!$B:$O,3,FALSE),"")</f>
        <v>壳体W*D*H</v>
      </c>
      <c r="C30" s="164" t="s">
        <v>4033</v>
      </c>
      <c r="D30" s="165" t="str">
        <f>IFERROR(VLOOKUP(C30,元件库!$B:$O,2,FALSE),"")</f>
        <v>精益联合集团</v>
      </c>
      <c r="E30" s="166" t="str">
        <f>IF(D30="欣利铜材","米",IF(B30="氧化锌避雷器","组","只"))</f>
        <v>只</v>
      </c>
      <c r="F30" s="166">
        <v>1</v>
      </c>
      <c r="G30" s="42">
        <f>IFERROR(J30*K30,"")</f>
        <v>4560</v>
      </c>
      <c r="H30" s="42">
        <f>IFERROR(G30*F30,"")</f>
        <v>4560</v>
      </c>
      <c r="I30" s="167"/>
      <c r="J30" s="168">
        <f>P$1</f>
        <v>1</v>
      </c>
      <c r="K30" s="169">
        <f>IFERROR(M30*L30,"")</f>
        <v>4560</v>
      </c>
      <c r="L30" s="170">
        <v>0.95</v>
      </c>
      <c r="M30" s="171">
        <f>IFERROR(VLOOKUP(C30,元件库!$B:$O,11,FALSE),"")</f>
        <v>4800</v>
      </c>
      <c r="N30" s="172" t="str">
        <f t="shared" ref="N30:N48" ca="1" si="6">IF(AND(ISNUMBER(FIND("IF",_xlfn.FORMULATEXT(L30))),ISNUMBER(FIND("IF",_xlfn.FORMULATEXT(M30)))),"","值")</f>
        <v>值</v>
      </c>
      <c r="O30" s="157"/>
      <c r="U30" s="162"/>
    </row>
    <row r="31" spans="1:21" s="175" customFormat="1" ht="16.5" customHeight="1" x14ac:dyDescent="0.2">
      <c r="A31" s="38">
        <f>COUNTIF($J$1:J31,"!")</f>
        <v>2</v>
      </c>
      <c r="B31" s="163" t="str">
        <f>IFERROR(VLOOKUP(C31,元件库!$B:$O,3,FALSE),"")</f>
        <v>计量手车</v>
      </c>
      <c r="C31" s="164" t="s">
        <v>4051</v>
      </c>
      <c r="D31" s="165" t="s">
        <v>4035</v>
      </c>
      <c r="E31" s="166" t="str">
        <f>IF(D31="欣利铜材","米",IF(B31="氧化锌避雷器","组","只"))</f>
        <v>只</v>
      </c>
      <c r="F31" s="166">
        <v>1</v>
      </c>
      <c r="G31" s="42">
        <f>IFERROR(J31*K31,"")</f>
        <v>2500</v>
      </c>
      <c r="H31" s="42">
        <f>IFERROR(G31*F31,"")</f>
        <v>2500</v>
      </c>
      <c r="I31" s="167"/>
      <c r="J31" s="168">
        <f>P$1</f>
        <v>1</v>
      </c>
      <c r="K31" s="169">
        <f>IFERROR(M31*L31,"")</f>
        <v>2500</v>
      </c>
      <c r="L31" s="170">
        <f>IFERROR(VLOOKUP(C31,元件库!$B:$O,10,FALSE),"1.00")</f>
        <v>1</v>
      </c>
      <c r="M31" s="171">
        <f>IFERROR(VLOOKUP(C31,元件库!$B:$O,11,FALSE),"")</f>
        <v>2500</v>
      </c>
      <c r="N31" s="172" t="str">
        <f t="shared" ca="1" si="6"/>
        <v/>
      </c>
      <c r="O31" s="157"/>
      <c r="U31" s="162"/>
    </row>
    <row r="32" spans="1:21" s="175" customFormat="1" ht="16.5" customHeight="1" x14ac:dyDescent="0.2">
      <c r="A32" s="38">
        <f>COUNTIF($J$1:J32,"!")</f>
        <v>2</v>
      </c>
      <c r="B32" s="163" t="str">
        <f>IFERROR(VLOOKUP(C32,元件库!$B:$O,3,FALSE),"")</f>
        <v>电流互感器</v>
      </c>
      <c r="C32" s="164" t="s">
        <v>4052</v>
      </c>
      <c r="D32" s="165" t="s">
        <v>4038</v>
      </c>
      <c r="E32" s="166" t="str">
        <f>IF(D32="欣利铜材","米",IF(B32="氧化锌避雷器","组","只"))</f>
        <v>只</v>
      </c>
      <c r="F32" s="166">
        <v>2</v>
      </c>
      <c r="G32" s="42">
        <f>IFERROR(J32*K32,"")</f>
        <v>560</v>
      </c>
      <c r="H32" s="42">
        <f>IFERROR(G32*F32,"")</f>
        <v>1120</v>
      </c>
      <c r="I32" s="167"/>
      <c r="J32" s="168">
        <f>P$1</f>
        <v>1</v>
      </c>
      <c r="K32" s="169">
        <f>IFERROR(M32*L32,"")</f>
        <v>560</v>
      </c>
      <c r="L32" s="170">
        <f>IFERROR(VLOOKUP(C32,元件库!$B:$O,10,FALSE),"1.00")</f>
        <v>1</v>
      </c>
      <c r="M32" s="171">
        <f>IFERROR(VLOOKUP(C32,元件库!$B:$O,11,FALSE),"")</f>
        <v>560</v>
      </c>
      <c r="N32" s="172" t="str">
        <f t="shared" ca="1" si="6"/>
        <v/>
      </c>
      <c r="O32" s="157"/>
      <c r="U32" s="162"/>
    </row>
    <row r="33" spans="1:21" s="175" customFormat="1" ht="16.5" customHeight="1" x14ac:dyDescent="0.2">
      <c r="A33" s="38">
        <f>COUNTIF($J$1:J33,"!")</f>
        <v>2</v>
      </c>
      <c r="B33" s="163" t="str">
        <f>IFERROR(VLOOKUP(C33,元件库!$B:$O,3,FALSE),"")</f>
        <v>高压熔断器</v>
      </c>
      <c r="C33" s="164" t="s">
        <v>4053</v>
      </c>
      <c r="D33" s="165" t="str">
        <f>IFERROR(VLOOKUP(C33,元件库!$B:$O,2,FALSE),"")</f>
        <v>上海智广</v>
      </c>
      <c r="E33" s="166" t="str">
        <f t="shared" ref="E33:E48" si="7">IF(D33="欣利铜材","米",IF(B33="氧化锌避雷器","组","只"))</f>
        <v>只</v>
      </c>
      <c r="F33" s="166">
        <v>3</v>
      </c>
      <c r="G33" s="42">
        <f t="shared" ref="G33:G39" si="8">IFERROR(J33*K33,"")</f>
        <v>60</v>
      </c>
      <c r="H33" s="42">
        <f t="shared" ref="H33:H39" si="9">IFERROR(G33*F33,"")</f>
        <v>180</v>
      </c>
      <c r="I33" s="167"/>
      <c r="J33" s="168">
        <f t="shared" ref="J33:J39" si="10">P$1</f>
        <v>1</v>
      </c>
      <c r="K33" s="169">
        <f t="shared" ref="K33:K39" si="11">IFERROR(M33*L33,"")</f>
        <v>60</v>
      </c>
      <c r="L33" s="170">
        <f>IFERROR(VLOOKUP(C33,元件库!$B:$O,10,FALSE),"1.00")</f>
        <v>1</v>
      </c>
      <c r="M33" s="171">
        <f>IFERROR(VLOOKUP(C33,元件库!$B:$O,11,FALSE),"")</f>
        <v>60</v>
      </c>
      <c r="N33" s="172" t="str">
        <f t="shared" ca="1" si="6"/>
        <v/>
      </c>
      <c r="O33" s="157"/>
    </row>
    <row r="34" spans="1:21" s="175" customFormat="1" ht="16.5" customHeight="1" x14ac:dyDescent="0.2">
      <c r="A34" s="38">
        <f>COUNTIF($J$1:J34,"!")</f>
        <v>2</v>
      </c>
      <c r="B34" s="163" t="str">
        <f>IFERROR(VLOOKUP(C34,元件库!$B:$O,3,FALSE),"")</f>
        <v>电压互感器</v>
      </c>
      <c r="C34" s="164" t="s">
        <v>4054</v>
      </c>
      <c r="D34" s="165" t="s">
        <v>4038</v>
      </c>
      <c r="E34" s="166" t="str">
        <f t="shared" si="7"/>
        <v>只</v>
      </c>
      <c r="F34" s="166">
        <v>2</v>
      </c>
      <c r="G34" s="42">
        <f t="shared" si="8"/>
        <v>952</v>
      </c>
      <c r="H34" s="42">
        <f t="shared" si="9"/>
        <v>1904</v>
      </c>
      <c r="I34" s="167"/>
      <c r="J34" s="168">
        <f t="shared" si="10"/>
        <v>1</v>
      </c>
      <c r="K34" s="169">
        <f t="shared" si="11"/>
        <v>952</v>
      </c>
      <c r="L34" s="170">
        <f>IFERROR(VLOOKUP(C34,元件库!$B:$O,10,FALSE),"1.00")</f>
        <v>1</v>
      </c>
      <c r="M34" s="171">
        <f>IFERROR(VLOOKUP(C34,元件库!$B:$O,11,FALSE),"")</f>
        <v>952</v>
      </c>
      <c r="N34" s="172" t="str">
        <f t="shared" ca="1" si="6"/>
        <v/>
      </c>
      <c r="O34" s="157"/>
    </row>
    <row r="35" spans="1:21" s="175" customFormat="1" ht="16.5" customHeight="1" x14ac:dyDescent="0.2">
      <c r="A35" s="38">
        <f>COUNTIF($J$1:J35,"!")</f>
        <v>2</v>
      </c>
      <c r="B35" s="163" t="str">
        <f>IFERROR(VLOOKUP(C35,元件库!$B:$O,3,FALSE),"")</f>
        <v>静触头</v>
      </c>
      <c r="C35" s="164" t="s">
        <v>165</v>
      </c>
      <c r="D35" s="165" t="str">
        <f>IFERROR(VLOOKUP(C35,元件库!$B:$O,2,FALSE),"")</f>
        <v>福一开</v>
      </c>
      <c r="E35" s="166" t="str">
        <f t="shared" si="7"/>
        <v>只</v>
      </c>
      <c r="F35" s="166">
        <v>6</v>
      </c>
      <c r="G35" s="42">
        <f t="shared" si="8"/>
        <v>75</v>
      </c>
      <c r="H35" s="42">
        <f t="shared" si="9"/>
        <v>450</v>
      </c>
      <c r="I35" s="167"/>
      <c r="J35" s="168">
        <f t="shared" si="10"/>
        <v>1</v>
      </c>
      <c r="K35" s="169">
        <f t="shared" si="11"/>
        <v>75</v>
      </c>
      <c r="L35" s="170">
        <f>IFERROR(VLOOKUP(C35,元件库!$B:$O,10,FALSE),"1.00")</f>
        <v>1</v>
      </c>
      <c r="M35" s="171">
        <f>IFERROR(VLOOKUP(C35,元件库!$B:$O,11,FALSE),"")</f>
        <v>75</v>
      </c>
      <c r="N35" s="172" t="str">
        <f t="shared" ca="1" si="6"/>
        <v/>
      </c>
      <c r="O35" s="157"/>
      <c r="U35" s="162"/>
    </row>
    <row r="36" spans="1:21" s="175" customFormat="1" ht="16.5" customHeight="1" x14ac:dyDescent="0.2">
      <c r="A36" s="38">
        <f>COUNTIF($J$1:J36,"!")</f>
        <v>2</v>
      </c>
      <c r="B36" s="163" t="str">
        <f>IFERROR(VLOOKUP(C36,元件库!$B:$O,3,FALSE),"")</f>
        <v>触头盒</v>
      </c>
      <c r="C36" s="164" t="s">
        <v>4055</v>
      </c>
      <c r="D36" s="165" t="str">
        <f>IFERROR(VLOOKUP(C36,元件库!$B:$O,2,FALSE),"")</f>
        <v>福一开</v>
      </c>
      <c r="E36" s="166" t="str">
        <f t="shared" si="7"/>
        <v>只</v>
      </c>
      <c r="F36" s="166">
        <v>6</v>
      </c>
      <c r="G36" s="42">
        <f t="shared" si="8"/>
        <v>60</v>
      </c>
      <c r="H36" s="42">
        <f t="shared" si="9"/>
        <v>360</v>
      </c>
      <c r="I36" s="167"/>
      <c r="J36" s="168">
        <f t="shared" si="10"/>
        <v>1</v>
      </c>
      <c r="K36" s="169">
        <f t="shared" si="11"/>
        <v>60</v>
      </c>
      <c r="L36" s="170">
        <f>IFERROR(VLOOKUP(C36,元件库!$B:$O,10,FALSE),"1.00")</f>
        <v>1</v>
      </c>
      <c r="M36" s="171">
        <f>IFERROR(VLOOKUP(C36,元件库!$B:$O,11,FALSE),"")</f>
        <v>60</v>
      </c>
      <c r="N36" s="172" t="str">
        <f t="shared" ca="1" si="6"/>
        <v/>
      </c>
      <c r="O36" s="157"/>
      <c r="U36" s="162"/>
    </row>
    <row r="37" spans="1:21" s="175" customFormat="1" ht="16.5" customHeight="1" x14ac:dyDescent="0.2">
      <c r="A37" s="38">
        <f>COUNTIF($J$1:J37,"!")</f>
        <v>2</v>
      </c>
      <c r="B37" s="163" t="str">
        <f>IFERROR(VLOOKUP(C37,元件库!$B:$O,3,FALSE),"")</f>
        <v>穿墙套管</v>
      </c>
      <c r="C37" s="164" t="s">
        <v>135</v>
      </c>
      <c r="D37" s="165" t="str">
        <f>IFERROR(VLOOKUP(C37,元件库!$B:$O,2,FALSE),"")</f>
        <v>福一开</v>
      </c>
      <c r="E37" s="166" t="str">
        <f t="shared" si="7"/>
        <v>只</v>
      </c>
      <c r="F37" s="166">
        <v>3</v>
      </c>
      <c r="G37" s="42">
        <f t="shared" si="8"/>
        <v>45</v>
      </c>
      <c r="H37" s="42">
        <f t="shared" si="9"/>
        <v>135</v>
      </c>
      <c r="I37" s="167"/>
      <c r="J37" s="168">
        <f t="shared" si="10"/>
        <v>1</v>
      </c>
      <c r="K37" s="169">
        <f t="shared" si="11"/>
        <v>45</v>
      </c>
      <c r="L37" s="170">
        <f>IFERROR(VLOOKUP(C37,元件库!$B:$O,10,FALSE),"1.00")</f>
        <v>1</v>
      </c>
      <c r="M37" s="171">
        <f>IFERROR(VLOOKUP(C37,元件库!$B:$O,11,FALSE),"")</f>
        <v>45</v>
      </c>
      <c r="N37" s="172" t="str">
        <f t="shared" ca="1" si="6"/>
        <v/>
      </c>
      <c r="O37" s="157"/>
      <c r="U37" s="162"/>
    </row>
    <row r="38" spans="1:21" s="175" customFormat="1" ht="16.5" customHeight="1" x14ac:dyDescent="0.2">
      <c r="A38" s="38">
        <f>COUNTIF($J$1:J38,"!")</f>
        <v>2</v>
      </c>
      <c r="B38" s="163" t="str">
        <f>IFERROR(VLOOKUP(C38,元件库!$B:$O,3,FALSE),"")</f>
        <v>支柱绝缘子</v>
      </c>
      <c r="C38" s="164" t="s">
        <v>136</v>
      </c>
      <c r="D38" s="165" t="str">
        <f>IFERROR(VLOOKUP(C38,元件库!$B:$O,2,FALSE),"")</f>
        <v>福一开</v>
      </c>
      <c r="E38" s="166" t="str">
        <f t="shared" si="7"/>
        <v>只</v>
      </c>
      <c r="F38" s="166">
        <v>3</v>
      </c>
      <c r="G38" s="42">
        <f t="shared" si="8"/>
        <v>22</v>
      </c>
      <c r="H38" s="42">
        <f t="shared" si="9"/>
        <v>66</v>
      </c>
      <c r="I38" s="167"/>
      <c r="J38" s="168">
        <f t="shared" si="10"/>
        <v>1</v>
      </c>
      <c r="K38" s="169">
        <f t="shared" si="11"/>
        <v>22</v>
      </c>
      <c r="L38" s="170">
        <f>IFERROR(VLOOKUP(C38,元件库!$B:$O,10,FALSE),"1.00")</f>
        <v>1</v>
      </c>
      <c r="M38" s="171">
        <f>IFERROR(VLOOKUP(C38,元件库!$B:$O,11,FALSE),"")</f>
        <v>22</v>
      </c>
      <c r="N38" s="172" t="str">
        <f t="shared" ca="1" si="6"/>
        <v/>
      </c>
      <c r="O38" s="157"/>
      <c r="U38" s="162"/>
    </row>
    <row r="39" spans="1:21" s="175" customFormat="1" ht="16.5" customHeight="1" x14ac:dyDescent="0.2">
      <c r="A39" s="38">
        <f>COUNTIF($J$1:J39,"!")</f>
        <v>2</v>
      </c>
      <c r="B39" s="163" t="str">
        <f>IFERROR(VLOOKUP(C39,元件库!$B:$O,3,FALSE),"")</f>
        <v>电压传感器</v>
      </c>
      <c r="C39" s="164" t="s">
        <v>137</v>
      </c>
      <c r="D39" s="165" t="str">
        <f>IFERROR(VLOOKUP(C39,元件库!$B:$O,2,FALSE),"")</f>
        <v>福一开</v>
      </c>
      <c r="E39" s="166" t="str">
        <f t="shared" si="7"/>
        <v>只</v>
      </c>
      <c r="F39" s="166">
        <v>1</v>
      </c>
      <c r="G39" s="42">
        <f t="shared" si="8"/>
        <v>93</v>
      </c>
      <c r="H39" s="42">
        <f t="shared" si="9"/>
        <v>93</v>
      </c>
      <c r="I39" s="167"/>
      <c r="J39" s="168">
        <f t="shared" si="10"/>
        <v>1</v>
      </c>
      <c r="K39" s="169">
        <f t="shared" si="11"/>
        <v>93</v>
      </c>
      <c r="L39" s="170">
        <f>IFERROR(VLOOKUP(C39,元件库!$B:$O,10,FALSE),"1.00")</f>
        <v>1</v>
      </c>
      <c r="M39" s="171">
        <f>IFERROR(VLOOKUP(C39,元件库!$B:$O,11,FALSE),"")</f>
        <v>93</v>
      </c>
      <c r="N39" s="172" t="str">
        <f t="shared" ca="1" si="6"/>
        <v/>
      </c>
      <c r="O39" s="157"/>
      <c r="U39" s="162"/>
    </row>
    <row r="40" spans="1:21" s="175" customFormat="1" ht="16.5" customHeight="1" x14ac:dyDescent="0.2">
      <c r="A40" s="38">
        <f>COUNTIF($J$1:J40,"!")</f>
        <v>2</v>
      </c>
      <c r="B40" s="163" t="str">
        <f>IFERROR(VLOOKUP(C40,元件库!$B:$O,3,FALSE),"")</f>
        <v>带电显示器</v>
      </c>
      <c r="C40" s="164" t="s">
        <v>1897</v>
      </c>
      <c r="D40" s="165" t="str">
        <f>IFERROR(VLOOKUP(C40,元件库!$B:$O,2,FALSE),"")</f>
        <v>江山鑫源</v>
      </c>
      <c r="E40" s="166" t="str">
        <f t="shared" si="7"/>
        <v>只</v>
      </c>
      <c r="F40" s="166">
        <v>1</v>
      </c>
      <c r="G40" s="42">
        <f>IFERROR(J40*K40,"")</f>
        <v>33</v>
      </c>
      <c r="H40" s="42">
        <f>IFERROR(G40*F40,"")</f>
        <v>33</v>
      </c>
      <c r="I40" s="167"/>
      <c r="J40" s="168">
        <f>P$1</f>
        <v>1</v>
      </c>
      <c r="K40" s="169">
        <f>IFERROR(M40*L40,"")</f>
        <v>33</v>
      </c>
      <c r="L40" s="170">
        <f>IFERROR(VLOOKUP(C40,元件库!$B:$O,10,FALSE),"1.00")</f>
        <v>1</v>
      </c>
      <c r="M40" s="171">
        <f>IFERROR(VLOOKUP(C40,元件库!$B:$O,11,FALSE),"")</f>
        <v>33</v>
      </c>
      <c r="N40" s="172" t="str">
        <f t="shared" ca="1" si="6"/>
        <v/>
      </c>
      <c r="O40" s="157"/>
      <c r="U40" s="162"/>
    </row>
    <row r="41" spans="1:21" s="175" customFormat="1" ht="16.5" customHeight="1" x14ac:dyDescent="0.2">
      <c r="A41" s="38">
        <f>COUNTIF($J$1:J41,"!")</f>
        <v>2</v>
      </c>
      <c r="B41" s="163" t="str">
        <f>IFERROR(VLOOKUP(C41,元件库!$B:$O,3,FALSE),"")</f>
        <v>电磁锁</v>
      </c>
      <c r="C41" s="164" t="s">
        <v>98</v>
      </c>
      <c r="D41" s="165" t="str">
        <f>IFERROR(VLOOKUP(C41,元件库!$B:$O,2,FALSE),"")</f>
        <v>哈陆拉</v>
      </c>
      <c r="E41" s="166" t="str">
        <f t="shared" si="7"/>
        <v>只</v>
      </c>
      <c r="F41" s="166">
        <v>1</v>
      </c>
      <c r="G41" s="42">
        <f>IFERROR(J41*K41,"")</f>
        <v>55</v>
      </c>
      <c r="H41" s="42">
        <f>IFERROR(G41*F41,"")</f>
        <v>55</v>
      </c>
      <c r="I41" s="167"/>
      <c r="J41" s="168">
        <f t="shared" ref="J41:J48" si="12">P$1</f>
        <v>1</v>
      </c>
      <c r="K41" s="169">
        <f>IFERROR(M41*L41,"")</f>
        <v>55</v>
      </c>
      <c r="L41" s="170">
        <f>IFERROR(VLOOKUP(C41,元件库!$B:$O,10,FALSE),"1.00")</f>
        <v>1</v>
      </c>
      <c r="M41" s="171">
        <f>IFERROR(VLOOKUP(C41,元件库!$B:$O,11,FALSE),"")</f>
        <v>55</v>
      </c>
      <c r="N41" s="172" t="str">
        <f t="shared" ca="1" si="6"/>
        <v/>
      </c>
      <c r="O41" s="157"/>
      <c r="U41" s="162"/>
    </row>
    <row r="42" spans="1:21" s="175" customFormat="1" ht="16.5" customHeight="1" x14ac:dyDescent="0.2">
      <c r="A42" s="38">
        <f>COUNTIF($J$1:J42,"!")</f>
        <v>2</v>
      </c>
      <c r="B42" s="163" t="str">
        <f>IFERROR(VLOOKUP(C42,元件库!$B:$O,3,FALSE),"")</f>
        <v>温湿度控制器</v>
      </c>
      <c r="C42" s="164" t="s">
        <v>3292</v>
      </c>
      <c r="D42" s="165" t="str">
        <f>IFERROR(VLOOKUP(C42,元件库!$B:$O,2,FALSE),"")</f>
        <v>实德电气</v>
      </c>
      <c r="E42" s="166" t="str">
        <f t="shared" si="7"/>
        <v>只</v>
      </c>
      <c r="F42" s="166">
        <v>1</v>
      </c>
      <c r="G42" s="42">
        <f t="shared" ref="G42:G48" si="13">IFERROR(J42*K42,"")</f>
        <v>80</v>
      </c>
      <c r="H42" s="42">
        <f t="shared" ref="H42:H48" si="14">IFERROR(G42*F42,"")</f>
        <v>80</v>
      </c>
      <c r="I42" s="167"/>
      <c r="J42" s="168">
        <f t="shared" si="12"/>
        <v>1</v>
      </c>
      <c r="K42" s="169">
        <f t="shared" ref="K42:K48" si="15">IFERROR(M42*L42,"")</f>
        <v>80</v>
      </c>
      <c r="L42" s="170">
        <f>IFERROR(VLOOKUP(C42,元件库!$B:$O,10,FALSE),"1.00")</f>
        <v>1</v>
      </c>
      <c r="M42" s="171">
        <f>IFERROR(VLOOKUP(C42,元件库!$B:$O,11,FALSE),"")</f>
        <v>80</v>
      </c>
      <c r="N42" s="172" t="str">
        <f t="shared" ca="1" si="6"/>
        <v/>
      </c>
      <c r="O42" s="157"/>
    </row>
    <row r="43" spans="1:21" s="175" customFormat="1" ht="16.5" customHeight="1" x14ac:dyDescent="0.2">
      <c r="A43" s="38">
        <f>COUNTIF($J$1:J43,"!")</f>
        <v>2</v>
      </c>
      <c r="B43" s="163" t="str">
        <f>IFERROR(VLOOKUP(C43,元件库!$B:$O,3,FALSE),"")</f>
        <v>加热器</v>
      </c>
      <c r="C43" s="164" t="s">
        <v>101</v>
      </c>
      <c r="D43" s="165" t="str">
        <f>IFERROR(VLOOKUP(C43,元件库!$B:$O,2,FALSE),"")</f>
        <v>实德电气</v>
      </c>
      <c r="E43" s="166" t="str">
        <f t="shared" si="7"/>
        <v>只</v>
      </c>
      <c r="F43" s="166">
        <v>2</v>
      </c>
      <c r="G43" s="42">
        <f t="shared" si="13"/>
        <v>18</v>
      </c>
      <c r="H43" s="42">
        <f t="shared" si="14"/>
        <v>36</v>
      </c>
      <c r="I43" s="167"/>
      <c r="J43" s="168">
        <f t="shared" si="12"/>
        <v>1</v>
      </c>
      <c r="K43" s="169">
        <f t="shared" si="15"/>
        <v>18</v>
      </c>
      <c r="L43" s="170">
        <f>IFERROR(VLOOKUP(C43,元件库!$B:$O,10,FALSE),"1.00")</f>
        <v>1</v>
      </c>
      <c r="M43" s="171">
        <f>IFERROR(VLOOKUP(C43,元件库!$B:$O,11,FALSE),"")</f>
        <v>18</v>
      </c>
      <c r="N43" s="172" t="str">
        <f t="shared" ca="1" si="6"/>
        <v/>
      </c>
      <c r="O43" s="157"/>
    </row>
    <row r="44" spans="1:21" s="175" customFormat="1" ht="16.5" customHeight="1" x14ac:dyDescent="0.2">
      <c r="A44" s="38">
        <f>COUNTIF($J$1:J44,"!")</f>
        <v>2</v>
      </c>
      <c r="B44" s="163" t="str">
        <f>IFERROR(VLOOKUP(C44,元件库!$B:$O,3,FALSE),"")</f>
        <v>高压热缩管</v>
      </c>
      <c r="C44" s="185" t="str">
        <f>"10KV"&amp;MID(C47,4,10)</f>
        <v>10KV-80*8</v>
      </c>
      <c r="D44" s="165" t="str">
        <f>IFERROR(VLOOKUP(C44,元件库!$B:$O,2,FALSE),"")</f>
        <v>精益联合集团</v>
      </c>
      <c r="E44" s="166" t="str">
        <f t="shared" si="7"/>
        <v>只</v>
      </c>
      <c r="F44" s="166">
        <f>ROUND(SUM(F45:F48),0)</f>
        <v>14</v>
      </c>
      <c r="G44" s="42">
        <f t="shared" si="13"/>
        <v>17</v>
      </c>
      <c r="H44" s="42">
        <f t="shared" si="14"/>
        <v>238</v>
      </c>
      <c r="I44" s="167"/>
      <c r="J44" s="168">
        <f t="shared" si="12"/>
        <v>1</v>
      </c>
      <c r="K44" s="169">
        <f t="shared" si="15"/>
        <v>17</v>
      </c>
      <c r="L44" s="170">
        <f>IFERROR(VLOOKUP(C44,元件库!$B:$O,10,FALSE),"1.00")</f>
        <v>1</v>
      </c>
      <c r="M44" s="171">
        <f>IFERROR(VLOOKUP(C44,元件库!$B:$O,11,FALSE),"")</f>
        <v>17</v>
      </c>
      <c r="N44" s="172" t="str">
        <f t="shared" ca="1" si="6"/>
        <v/>
      </c>
      <c r="O44" s="157"/>
    </row>
    <row r="45" spans="1:21" s="175" customFormat="1" ht="16.5" customHeight="1" x14ac:dyDescent="0.2">
      <c r="A45" s="38">
        <f>COUNTIF($J$1:J45,"!")</f>
        <v>2</v>
      </c>
      <c r="B45" s="163" t="str">
        <f>IFERROR(VLOOKUP(C45,元件库!$B:$O,3,FALSE),"")</f>
        <v>铜排</v>
      </c>
      <c r="C45" s="185" t="s">
        <v>2225</v>
      </c>
      <c r="D45" s="165" t="str">
        <f>IFERROR(VLOOKUP(C45,元件库!$B:$O,2,FALSE),"")</f>
        <v>欣利铜材</v>
      </c>
      <c r="E45" s="166" t="str">
        <f t="shared" si="7"/>
        <v>米</v>
      </c>
      <c r="F45" s="166">
        <v>8</v>
      </c>
      <c r="G45" s="42">
        <f t="shared" si="13"/>
        <v>324.67199999999997</v>
      </c>
      <c r="H45" s="42">
        <f t="shared" si="14"/>
        <v>2597.3759999999997</v>
      </c>
      <c r="I45" s="167"/>
      <c r="J45" s="168">
        <f t="shared" si="12"/>
        <v>1</v>
      </c>
      <c r="K45" s="169">
        <f t="shared" si="15"/>
        <v>324.67199999999997</v>
      </c>
      <c r="L45" s="170">
        <f>IFERROR(VLOOKUP(C45,元件库!$B:$O,10,FALSE),"1.00")</f>
        <v>1</v>
      </c>
      <c r="M45" s="171">
        <f>IFERROR(VLOOKUP(C45,元件库!$B:$O,11,FALSE),"")</f>
        <v>324.67199999999997</v>
      </c>
      <c r="N45" s="172" t="str">
        <f t="shared" ca="1" si="6"/>
        <v/>
      </c>
      <c r="O45" s="174" t="str">
        <f>O48</f>
        <v>KYN28A-800*1500*2300</v>
      </c>
    </row>
    <row r="46" spans="1:21" s="175" customFormat="1" ht="16.5" customHeight="1" x14ac:dyDescent="0.2">
      <c r="A46" s="38">
        <f>COUNTIF($J$1:J46,"!")</f>
        <v>2</v>
      </c>
      <c r="B46" s="163" t="str">
        <f>IFERROR(VLOOKUP(C46,元件库!$B:$O,3,FALSE),"")</f>
        <v>铜排</v>
      </c>
      <c r="C46" s="185" t="s">
        <v>1910</v>
      </c>
      <c r="D46" s="165" t="str">
        <f>IFERROR(VLOOKUP(C46,元件库!$B:$O,2,FALSE),"")</f>
        <v>欣利铜材</v>
      </c>
      <c r="E46" s="166" t="str">
        <f t="shared" si="7"/>
        <v>米</v>
      </c>
      <c r="F46" s="166">
        <v>3</v>
      </c>
      <c r="G46" s="42">
        <f t="shared" si="13"/>
        <v>45.656999999999996</v>
      </c>
      <c r="H46" s="42">
        <f t="shared" si="14"/>
        <v>136.971</v>
      </c>
      <c r="I46" s="167"/>
      <c r="J46" s="168">
        <f t="shared" si="12"/>
        <v>1</v>
      </c>
      <c r="K46" s="169">
        <f t="shared" si="15"/>
        <v>45.656999999999996</v>
      </c>
      <c r="L46" s="170">
        <f>IFERROR(VLOOKUP(C46,元件库!$B:$O,10,FALSE),"1.00")</f>
        <v>1</v>
      </c>
      <c r="M46" s="171">
        <f>IFERROR(VLOOKUP(C46,元件库!$B:$O,11,FALSE),"")</f>
        <v>45.656999999999996</v>
      </c>
      <c r="N46" s="172" t="str">
        <f t="shared" ca="1" si="6"/>
        <v/>
      </c>
      <c r="O46" s="174">
        <f>O49</f>
        <v>0</v>
      </c>
    </row>
    <row r="47" spans="1:21" s="175" customFormat="1" ht="16.5" customHeight="1" x14ac:dyDescent="0.2">
      <c r="A47" s="38">
        <f>COUNTIF($J$1:J47,"!")</f>
        <v>2</v>
      </c>
      <c r="B47" s="163" t="s">
        <v>2171</v>
      </c>
      <c r="C47" s="185" t="s">
        <v>2225</v>
      </c>
      <c r="D47" s="165" t="str">
        <f>IFERROR(VLOOKUP(C47,元件库!$B:$O,2,FALSE),"")</f>
        <v>欣利铜材</v>
      </c>
      <c r="E47" s="166" t="str">
        <f t="shared" si="7"/>
        <v>米</v>
      </c>
      <c r="F47" s="166">
        <f>1*MID(O47,FIND("-",O47)+1,FIND("*",O47)-FIND("-",O47)-1)/1000*IF(B47="水平排",3,1)+IF(AND(B47="零母排",VLOOKUP(A47,A$1:B43,2,FALSE)="低压进线柜"),1.5,0)</f>
        <v>2.4000000000000004</v>
      </c>
      <c r="G47" s="42">
        <f t="shared" si="13"/>
        <v>324.67199999999997</v>
      </c>
      <c r="H47" s="42">
        <f t="shared" si="14"/>
        <v>779.21280000000002</v>
      </c>
      <c r="I47" s="167"/>
      <c r="J47" s="168">
        <f t="shared" si="12"/>
        <v>1</v>
      </c>
      <c r="K47" s="169">
        <f t="shared" si="15"/>
        <v>324.67199999999997</v>
      </c>
      <c r="L47" s="170">
        <f>IFERROR(VLOOKUP(C47,元件库!$B:$O,10,FALSE),"1.00")</f>
        <v>1</v>
      </c>
      <c r="M47" s="171">
        <f>IFERROR(VLOOKUP(C47,元件库!$B:$O,11,FALSE),"")</f>
        <v>324.67199999999997</v>
      </c>
      <c r="N47" s="172" t="str">
        <f t="shared" ca="1" si="6"/>
        <v/>
      </c>
      <c r="O47" s="174" t="str">
        <f>O50</f>
        <v>KYN28A-800*1500*2300</v>
      </c>
    </row>
    <row r="48" spans="1:21" s="175" customFormat="1" ht="16.5" customHeight="1" x14ac:dyDescent="0.2">
      <c r="A48" s="38">
        <f>COUNTIF($J$1:J48,"!")</f>
        <v>2</v>
      </c>
      <c r="B48" s="163" t="s">
        <v>2172</v>
      </c>
      <c r="C48" s="185" t="s">
        <v>2673</v>
      </c>
      <c r="D48" s="165" t="str">
        <f>IFERROR(VLOOKUP(C48,元件库!$B:$O,2,FALSE),"")</f>
        <v>欣利铜材</v>
      </c>
      <c r="E48" s="166" t="str">
        <f t="shared" si="7"/>
        <v>米</v>
      </c>
      <c r="F48" s="166">
        <f>1*MID(O48,FIND("-",O48)+1,FIND("*",O48)-FIND("-",O48)-1)/1000*IF(B48="水平排",3,1)+IF(AND(B48="零母排",VLOOKUP(A48,A$1:B44,2,FALSE)="低压进线柜"),1.5,0)</f>
        <v>0.8</v>
      </c>
      <c r="G48" s="42">
        <f t="shared" si="13"/>
        <v>126.82499999999999</v>
      </c>
      <c r="H48" s="42">
        <f t="shared" si="14"/>
        <v>101.46</v>
      </c>
      <c r="I48" s="167"/>
      <c r="J48" s="168">
        <f t="shared" si="12"/>
        <v>1</v>
      </c>
      <c r="K48" s="169">
        <f t="shared" si="15"/>
        <v>126.82499999999999</v>
      </c>
      <c r="L48" s="170">
        <f>IFERROR(VLOOKUP(C48,元件库!$B:$O,10,FALSE),"1.00")</f>
        <v>1</v>
      </c>
      <c r="M48" s="171">
        <f>IFERROR(VLOOKUP(C48,元件库!$B:$O,11,FALSE),"")</f>
        <v>126.82499999999999</v>
      </c>
      <c r="N48" s="172" t="str">
        <f t="shared" ca="1" si="6"/>
        <v/>
      </c>
      <c r="O48" s="174" t="str">
        <f>O51</f>
        <v>KYN28A-800*1500*2300</v>
      </c>
    </row>
    <row r="49" spans="1:21" s="162" customFormat="1" ht="16.5" customHeight="1" x14ac:dyDescent="0.2">
      <c r="A49" s="38">
        <f>COUNTIF($J$1:J49,"!")</f>
        <v>2</v>
      </c>
      <c r="B49" s="177" t="s">
        <v>107</v>
      </c>
      <c r="C49" s="164"/>
      <c r="D49" s="166"/>
      <c r="E49" s="166"/>
      <c r="F49" s="166"/>
      <c r="G49" s="42"/>
      <c r="H49" s="42"/>
      <c r="I49" s="178">
        <f>SUM(H30:H49)</f>
        <v>15425.019799999998</v>
      </c>
      <c r="J49" s="168"/>
      <c r="K49" s="169"/>
      <c r="L49" s="170"/>
      <c r="M49" s="171"/>
      <c r="O49" s="161"/>
      <c r="P49" s="157"/>
    </row>
    <row r="50" spans="1:21" ht="16.5" customHeight="1" x14ac:dyDescent="0.2">
      <c r="A50" s="38">
        <f>COUNTIF($J$1:J50,"!")</f>
        <v>2</v>
      </c>
      <c r="B50" s="179" t="s">
        <v>47</v>
      </c>
      <c r="C50" s="164"/>
      <c r="D50" s="166"/>
      <c r="E50" s="166"/>
      <c r="F50" s="166"/>
      <c r="G50" s="42"/>
      <c r="H50" s="42">
        <f>IFERROR(J50*M50*L50,"")</f>
        <v>900</v>
      </c>
      <c r="I50" s="167"/>
      <c r="J50" s="168">
        <f>P$1</f>
        <v>1</v>
      </c>
      <c r="K50" s="169">
        <f>IFERROR(M50*L50,"")</f>
        <v>900</v>
      </c>
      <c r="L50" s="170" t="str">
        <f>IFERROR(VLOOKUP(C50,元件库!$B:$O,10,FALSE),"1.00")</f>
        <v>1.00</v>
      </c>
      <c r="M50" s="171">
        <f>IF(ISNUMBER(FIND("提升",VLOOKUP(A50,A$1:B49,2,FALSE))),IF(B50="成套费",400,200),IF(OR(ISNUMBER(FIND("XGN",O50)),ISNUMBER(FIND("HXGN",O50))),IF(B50="成套费",800,600),IF(ISNUMBER(FIND("KYN28",O50)),IF(B50="成套费",900,700),"")))</f>
        <v>900</v>
      </c>
      <c r="O50" s="180" t="str">
        <f>C30</f>
        <v>KYN28A-800*1500*2300</v>
      </c>
    </row>
    <row r="51" spans="1:21" s="161" customFormat="1" ht="16.5" customHeight="1" x14ac:dyDescent="0.2">
      <c r="A51" s="38">
        <f>COUNTIF($J$1:J51,"!")</f>
        <v>2</v>
      </c>
      <c r="B51" s="179" t="s">
        <v>49</v>
      </c>
      <c r="C51" s="164"/>
      <c r="D51" s="166"/>
      <c r="E51" s="166"/>
      <c r="F51" s="166"/>
      <c r="G51" s="42"/>
      <c r="H51" s="42">
        <f>IFERROR(J51*M51*L51,"")</f>
        <v>700</v>
      </c>
      <c r="I51" s="167"/>
      <c r="J51" s="168">
        <f>P$1</f>
        <v>1</v>
      </c>
      <c r="K51" s="169">
        <f>IFERROR(M51*L51,"")</f>
        <v>700</v>
      </c>
      <c r="L51" s="170" t="str">
        <f>IFERROR(VLOOKUP(C51,元件库!$B:$O,10,FALSE),"1.00")</f>
        <v>1.00</v>
      </c>
      <c r="M51" s="171">
        <f>IF(ISNUMBER(FIND("提升",VLOOKUP(A51,A$1:B50,2,FALSE))),IF(B51="成套费",400,200),IF(OR(ISNUMBER(FIND("XGN",O51)),ISNUMBER(FIND("HXGN",O51))),IF(B51="成套费",800,600),IF(ISNUMBER(FIND("KYN28",O51)),IF(B51="成套费",900,700),"")))</f>
        <v>700</v>
      </c>
      <c r="O51" s="174" t="str">
        <f>O50</f>
        <v>KYN28A-800*1500*2300</v>
      </c>
      <c r="P51" s="162"/>
      <c r="Q51" s="162"/>
    </row>
    <row r="52" spans="1:21" s="161" customFormat="1" ht="16.5" customHeight="1" x14ac:dyDescent="0.2">
      <c r="A52" s="38">
        <f>COUNTIF($J$1:J52,"!")</f>
        <v>2</v>
      </c>
      <c r="B52" s="179" t="s">
        <v>79</v>
      </c>
      <c r="C52" s="164"/>
      <c r="D52" s="166"/>
      <c r="E52" s="166"/>
      <c r="F52" s="166"/>
      <c r="G52" s="42"/>
      <c r="H52" s="42">
        <f>K52*L52</f>
        <v>2043.0023759999997</v>
      </c>
      <c r="I52" s="167"/>
      <c r="J52" s="168"/>
      <c r="K52" s="169">
        <f>SUM(H50:H51)+I49</f>
        <v>17025.019799999998</v>
      </c>
      <c r="L52" s="279">
        <f>R$1</f>
        <v>0.12</v>
      </c>
      <c r="M52" s="171"/>
      <c r="O52" s="181"/>
      <c r="P52" s="162"/>
      <c r="Q52" s="162"/>
    </row>
    <row r="53" spans="1:21" ht="16.5" customHeight="1" x14ac:dyDescent="0.2">
      <c r="A53" s="38">
        <f>COUNTIF($J$1:J53,"!")</f>
        <v>2</v>
      </c>
      <c r="B53" s="179" t="s">
        <v>108</v>
      </c>
      <c r="C53" s="164"/>
      <c r="D53" s="166"/>
      <c r="E53" s="166"/>
      <c r="F53" s="166"/>
      <c r="G53" s="184"/>
      <c r="H53" s="42">
        <f>K53*L53</f>
        <v>1144.08133056</v>
      </c>
      <c r="I53" s="167"/>
      <c r="J53" s="168"/>
      <c r="K53" s="169">
        <f>H52+K52</f>
        <v>19068.022175999999</v>
      </c>
      <c r="L53" s="279">
        <f>T$1</f>
        <v>0.06</v>
      </c>
      <c r="M53" s="171"/>
    </row>
    <row r="54" spans="1:21" s="162" customFormat="1" ht="16.5" customHeight="1" x14ac:dyDescent="0.15">
      <c r="A54" s="32">
        <f>COUNTIF($J$1:J54,"!")</f>
        <v>3</v>
      </c>
      <c r="B54" s="33" t="s">
        <v>3293</v>
      </c>
      <c r="C54" s="277" t="s">
        <v>4056</v>
      </c>
      <c r="D54" s="159"/>
      <c r="E54" s="34" t="s">
        <v>23</v>
      </c>
      <c r="F54" s="159">
        <v>2</v>
      </c>
      <c r="G54" s="36">
        <f>ROUND(SUM(H55:H79),0)</f>
        <v>18785</v>
      </c>
      <c r="H54" s="160" t="str">
        <f>IF(ISNUMBER(FIND(" ",C55)),MID(C55,1,FIND(" ",C55)-1),IF(ISNUMBER(FIND("电容柜",B54)),"GGJ",MID(C55,1,FIND("-",C55)-1)))</f>
        <v>KYN28A</v>
      </c>
      <c r="I54" s="47" t="str">
        <f>MID(C55,IF(LEN(C55)-LEN(H54)&gt;3,LEN(H54)+2,1),30)</f>
        <v>800*1500*2300</v>
      </c>
      <c r="J54" s="48" t="s">
        <v>24</v>
      </c>
      <c r="K54" s="49"/>
      <c r="L54" s="50"/>
      <c r="M54" s="51"/>
      <c r="N54" s="172"/>
      <c r="O54" s="161"/>
    </row>
    <row r="55" spans="1:21" s="175" customFormat="1" ht="16.5" customHeight="1" x14ac:dyDescent="0.2">
      <c r="A55" s="38">
        <f>COUNTIF($J$1:J55,"!")</f>
        <v>3</v>
      </c>
      <c r="B55" s="163" t="str">
        <f>IFERROR(VLOOKUP(C55,元件库!$B:$O,3,FALSE),"")</f>
        <v>壳体W*D*H</v>
      </c>
      <c r="C55" s="164" t="s">
        <v>4057</v>
      </c>
      <c r="D55" s="165" t="str">
        <f>IFERROR(VLOOKUP(C55,元件库!$B:$O,2,FALSE),"")</f>
        <v>精益联合集团</v>
      </c>
      <c r="E55" s="166" t="str">
        <f>IF(D55="欣利铜材","米",IF(B55="氧化锌避雷器","组","只"))</f>
        <v>只</v>
      </c>
      <c r="F55" s="166">
        <v>1</v>
      </c>
      <c r="G55" s="42">
        <f>IFERROR(J55*K55,"")</f>
        <v>4560</v>
      </c>
      <c r="H55" s="42">
        <f>IFERROR(G55*F55,"")</f>
        <v>4560</v>
      </c>
      <c r="I55" s="167"/>
      <c r="J55" s="168">
        <f>P$1</f>
        <v>1</v>
      </c>
      <c r="K55" s="169">
        <f>IFERROR(M55*L55,"")</f>
        <v>4560</v>
      </c>
      <c r="L55" s="170">
        <v>0.95</v>
      </c>
      <c r="M55" s="171">
        <f>IFERROR(VLOOKUP(C55,元件库!$B:$O,11,FALSE),"")</f>
        <v>4800</v>
      </c>
      <c r="N55" s="172" t="str">
        <f t="shared" ref="N55:N74" ca="1" si="16">IF(AND(ISNUMBER(FIND("IF",_xlfn.FORMULATEXT(L55))),ISNUMBER(FIND("IF",_xlfn.FORMULATEXT(M55)))),"","值")</f>
        <v>值</v>
      </c>
      <c r="O55" s="157"/>
      <c r="U55" s="162"/>
    </row>
    <row r="56" spans="1:21" s="175" customFormat="1" ht="16.5" customHeight="1" x14ac:dyDescent="0.2">
      <c r="A56" s="38">
        <f>COUNTIF($J$1:J56,"!")</f>
        <v>3</v>
      </c>
      <c r="B56" s="163" t="str">
        <f>IFERROR(VLOOKUP(C56,元件库!$B:$O,3,FALSE),"")</f>
        <v>PT+避雷器手车</v>
      </c>
      <c r="C56" s="164" t="s">
        <v>3948</v>
      </c>
      <c r="D56" s="165" t="s">
        <v>4058</v>
      </c>
      <c r="E56" s="166" t="str">
        <f>IF(D56="欣利铜材","米",IF(B56="氧化锌避雷器","组","只"))</f>
        <v>只</v>
      </c>
      <c r="F56" s="166">
        <v>1</v>
      </c>
      <c r="G56" s="42">
        <f>IFERROR(J56*K56,"")</f>
        <v>1350</v>
      </c>
      <c r="H56" s="42">
        <f>IFERROR(G56*F56,"")</f>
        <v>1350</v>
      </c>
      <c r="I56" s="167"/>
      <c r="J56" s="168">
        <f>P$1</f>
        <v>1</v>
      </c>
      <c r="K56" s="169">
        <f>IFERROR(M56*L56,"")</f>
        <v>1350</v>
      </c>
      <c r="L56" s="170">
        <f>IFERROR(VLOOKUP(C56,元件库!$B:$O,10,FALSE),"1.00")</f>
        <v>1</v>
      </c>
      <c r="M56" s="171">
        <f>IFERROR(VLOOKUP(C56,元件库!$B:$O,11,FALSE),"")</f>
        <v>1350</v>
      </c>
      <c r="N56" s="172" t="str">
        <f t="shared" ca="1" si="16"/>
        <v/>
      </c>
      <c r="O56" s="157"/>
      <c r="U56" s="162"/>
    </row>
    <row r="57" spans="1:21" s="175" customFormat="1" ht="16.5" customHeight="1" x14ac:dyDescent="0.2">
      <c r="A57" s="38">
        <f>COUNTIF($J$1:J57,"!")</f>
        <v>3</v>
      </c>
      <c r="B57" s="163" t="str">
        <f>IFERROR(VLOOKUP(C57,元件库!$B:$O,3,FALSE),"")</f>
        <v>高压熔断器</v>
      </c>
      <c r="C57" s="164" t="s">
        <v>3041</v>
      </c>
      <c r="D57" s="165" t="str">
        <f>IFERROR(VLOOKUP(C57,元件库!$B:$O,2,FALSE),"")</f>
        <v>上海智广</v>
      </c>
      <c r="E57" s="166" t="str">
        <f>IF(D57="欣利铜材","米",IF(B57="氧化锌避雷器","组","只"))</f>
        <v>只</v>
      </c>
      <c r="F57" s="166">
        <v>3</v>
      </c>
      <c r="G57" s="42">
        <f>IFERROR(J57*K57,"")</f>
        <v>60</v>
      </c>
      <c r="H57" s="42">
        <f>IFERROR(G57*F57,"")</f>
        <v>180</v>
      </c>
      <c r="I57" s="167"/>
      <c r="J57" s="168">
        <f>P$1</f>
        <v>1</v>
      </c>
      <c r="K57" s="169">
        <f>IFERROR(M57*L57,"")</f>
        <v>60</v>
      </c>
      <c r="L57" s="170">
        <f>IFERROR(VLOOKUP(C57,元件库!$B:$O,10,FALSE),"1.00")</f>
        <v>1</v>
      </c>
      <c r="M57" s="171">
        <f>IFERROR(VLOOKUP(C57,元件库!$B:$O,11,FALSE),"")</f>
        <v>60</v>
      </c>
      <c r="N57" s="172" t="str">
        <f t="shared" ca="1" si="16"/>
        <v/>
      </c>
      <c r="O57" s="157"/>
      <c r="U57" s="162"/>
    </row>
    <row r="58" spans="1:21" s="175" customFormat="1" ht="16.5" customHeight="1" x14ac:dyDescent="0.2">
      <c r="A58" s="38">
        <f>COUNTIF($J$1:J58,"!")</f>
        <v>3</v>
      </c>
      <c r="B58" s="163" t="str">
        <f>IFERROR(VLOOKUP(C58,元件库!$B:$O,3,FALSE),"")</f>
        <v>电压互感器</v>
      </c>
      <c r="C58" s="164" t="s">
        <v>3294</v>
      </c>
      <c r="D58" s="165" t="s">
        <v>4059</v>
      </c>
      <c r="E58" s="166" t="str">
        <f t="shared" ref="E58:E74" si="17">IF(D58="欣利铜材","米",IF(B58="氧化锌避雷器","组","只"))</f>
        <v>只</v>
      </c>
      <c r="F58" s="166">
        <v>3</v>
      </c>
      <c r="G58" s="42">
        <f t="shared" ref="G58:G65" si="18">IFERROR(J58*K58,"")</f>
        <v>952</v>
      </c>
      <c r="H58" s="42">
        <f t="shared" ref="H58:H65" si="19">IFERROR(G58*F58,"")</f>
        <v>2856</v>
      </c>
      <c r="I58" s="167"/>
      <c r="J58" s="168">
        <f t="shared" ref="J58:J65" si="20">P$1</f>
        <v>1</v>
      </c>
      <c r="K58" s="169">
        <f t="shared" ref="K58:K65" si="21">IFERROR(M58*L58,"")</f>
        <v>952</v>
      </c>
      <c r="L58" s="170">
        <f>IFERROR(VLOOKUP(C58,元件库!$B:$O,10,FALSE),"1.00")</f>
        <v>1</v>
      </c>
      <c r="M58" s="171">
        <f>IFERROR(VLOOKUP(C58,元件库!$B:$O,11,FALSE),"")</f>
        <v>952</v>
      </c>
      <c r="N58" s="172" t="str">
        <f t="shared" ca="1" si="16"/>
        <v/>
      </c>
      <c r="O58" s="157"/>
    </row>
    <row r="59" spans="1:21" s="175" customFormat="1" ht="16.5" customHeight="1" x14ac:dyDescent="0.2">
      <c r="A59" s="38">
        <f>COUNTIF($J$1:J59,"!")</f>
        <v>3</v>
      </c>
      <c r="B59" s="163" t="str">
        <f>IFERROR(VLOOKUP(C59,元件库!$B:$O,3,FALSE),"")</f>
        <v>氧化锌避雷器</v>
      </c>
      <c r="C59" s="164" t="s">
        <v>1917</v>
      </c>
      <c r="D59" s="165" t="str">
        <f>IFERROR(VLOOKUP(C59,元件库!$B:$O,2,FALSE),"")</f>
        <v>雷恩电气</v>
      </c>
      <c r="E59" s="166" t="str">
        <f>IF(D59="欣利铜材","米",IF(B59="氧化锌避雷器","组","只"))</f>
        <v>组</v>
      </c>
      <c r="F59" s="166">
        <v>1</v>
      </c>
      <c r="G59" s="42">
        <f>IFERROR(J59*K59,"")</f>
        <v>200</v>
      </c>
      <c r="H59" s="42">
        <f>IFERROR(G59*F59,"")</f>
        <v>200</v>
      </c>
      <c r="I59" s="167"/>
      <c r="J59" s="168">
        <f>P$1</f>
        <v>1</v>
      </c>
      <c r="K59" s="169">
        <f>IFERROR(M59*L59,"")</f>
        <v>200</v>
      </c>
      <c r="L59" s="170">
        <f>IFERROR(VLOOKUP(C59,元件库!$B:$O,10,FALSE),"1.00")</f>
        <v>1</v>
      </c>
      <c r="M59" s="171">
        <f>IFERROR(VLOOKUP(C59,元件库!$B:$O,11,FALSE),"")</f>
        <v>200</v>
      </c>
      <c r="N59" s="172" t="str">
        <f t="shared" ca="1" si="16"/>
        <v/>
      </c>
      <c r="O59" s="157"/>
      <c r="U59" s="162"/>
    </row>
    <row r="60" spans="1:21" s="175" customFormat="1" ht="16.5" customHeight="1" x14ac:dyDescent="0.2">
      <c r="A60" s="38">
        <f>COUNTIF($J$1:J60,"!")</f>
        <v>3</v>
      </c>
      <c r="B60" s="163" t="str">
        <f>IFERROR(VLOOKUP(C60,元件库!$B:$O,3,FALSE),"")</f>
        <v>消谐电阻器</v>
      </c>
      <c r="C60" s="164" t="s">
        <v>3295</v>
      </c>
      <c r="D60" s="165" t="str">
        <f>IFERROR(VLOOKUP(C60,元件库!$B:$O,2,FALSE),"")</f>
        <v>福一开</v>
      </c>
      <c r="E60" s="166" t="str">
        <f t="shared" si="17"/>
        <v>只</v>
      </c>
      <c r="F60" s="166">
        <v>1</v>
      </c>
      <c r="G60" s="42">
        <f t="shared" si="18"/>
        <v>465</v>
      </c>
      <c r="H60" s="42">
        <f t="shared" si="19"/>
        <v>465</v>
      </c>
      <c r="I60" s="167"/>
      <c r="J60" s="168">
        <f t="shared" si="20"/>
        <v>1</v>
      </c>
      <c r="K60" s="169">
        <f t="shared" si="21"/>
        <v>465</v>
      </c>
      <c r="L60" s="170">
        <f>IFERROR(VLOOKUP(C60,元件库!$B:$O,10,FALSE),"1.00")</f>
        <v>1</v>
      </c>
      <c r="M60" s="171">
        <f>IFERROR(VLOOKUP(C60,元件库!$B:$O,11,FALSE),"")</f>
        <v>465</v>
      </c>
      <c r="N60" s="172" t="str">
        <f t="shared" ca="1" si="16"/>
        <v/>
      </c>
      <c r="O60" s="157"/>
    </row>
    <row r="61" spans="1:21" s="175" customFormat="1" ht="16.5" customHeight="1" x14ac:dyDescent="0.2">
      <c r="A61" s="38">
        <f>COUNTIF($J$1:J61,"!")</f>
        <v>3</v>
      </c>
      <c r="B61" s="163" t="str">
        <f>IFERROR(VLOOKUP(C61,元件库!$B:$O,3,FALSE),"")</f>
        <v>静触头</v>
      </c>
      <c r="C61" s="164" t="s">
        <v>169</v>
      </c>
      <c r="D61" s="165" t="str">
        <f>IFERROR(VLOOKUP(C61,元件库!$B:$O,2,FALSE),"")</f>
        <v>福一开</v>
      </c>
      <c r="E61" s="166" t="str">
        <f t="shared" si="17"/>
        <v>只</v>
      </c>
      <c r="F61" s="166">
        <v>3</v>
      </c>
      <c r="G61" s="42">
        <f t="shared" si="18"/>
        <v>42</v>
      </c>
      <c r="H61" s="42">
        <f t="shared" si="19"/>
        <v>126</v>
      </c>
      <c r="I61" s="167"/>
      <c r="J61" s="168">
        <f t="shared" si="20"/>
        <v>1</v>
      </c>
      <c r="K61" s="169">
        <f t="shared" si="21"/>
        <v>42</v>
      </c>
      <c r="L61" s="170">
        <f>IFERROR(VLOOKUP(C61,元件库!$B:$O,10,FALSE),"1.00")</f>
        <v>1</v>
      </c>
      <c r="M61" s="171">
        <f>IFERROR(VLOOKUP(C61,元件库!$B:$O,11,FALSE),"")</f>
        <v>42</v>
      </c>
      <c r="N61" s="172" t="str">
        <f t="shared" ca="1" si="16"/>
        <v/>
      </c>
      <c r="O61" s="157"/>
      <c r="U61" s="162"/>
    </row>
    <row r="62" spans="1:21" s="175" customFormat="1" ht="16.5" customHeight="1" x14ac:dyDescent="0.2">
      <c r="A62" s="38">
        <f>COUNTIF($J$1:J62,"!")</f>
        <v>3</v>
      </c>
      <c r="B62" s="163" t="str">
        <f>IFERROR(VLOOKUP(C62,元件库!$B:$O,3,FALSE),"")</f>
        <v>触头盒</v>
      </c>
      <c r="C62" s="164" t="s">
        <v>3229</v>
      </c>
      <c r="D62" s="165" t="str">
        <f>IFERROR(VLOOKUP(C62,元件库!$B:$O,2,FALSE),"")</f>
        <v>福一开</v>
      </c>
      <c r="E62" s="166" t="str">
        <f t="shared" si="17"/>
        <v>只</v>
      </c>
      <c r="F62" s="166">
        <v>3</v>
      </c>
      <c r="G62" s="42">
        <f t="shared" si="18"/>
        <v>45</v>
      </c>
      <c r="H62" s="42">
        <f t="shared" si="19"/>
        <v>135</v>
      </c>
      <c r="I62" s="167"/>
      <c r="J62" s="168">
        <f t="shared" si="20"/>
        <v>1</v>
      </c>
      <c r="K62" s="169">
        <f t="shared" si="21"/>
        <v>45</v>
      </c>
      <c r="L62" s="170">
        <f>IFERROR(VLOOKUP(C62,元件库!$B:$O,10,FALSE),"1.00")</f>
        <v>1</v>
      </c>
      <c r="M62" s="171">
        <f>IFERROR(VLOOKUP(C62,元件库!$B:$O,11,FALSE),"")</f>
        <v>45</v>
      </c>
      <c r="N62" s="172" t="str">
        <f t="shared" ca="1" si="16"/>
        <v/>
      </c>
      <c r="O62" s="157"/>
      <c r="U62" s="162"/>
    </row>
    <row r="63" spans="1:21" s="175" customFormat="1" ht="16.5" customHeight="1" x14ac:dyDescent="0.2">
      <c r="A63" s="38">
        <f>COUNTIF($J$1:J63,"!")</f>
        <v>3</v>
      </c>
      <c r="B63" s="163" t="str">
        <f>IFERROR(VLOOKUP(C63,元件库!$B:$O,3,FALSE),"")</f>
        <v>穿墙套管</v>
      </c>
      <c r="C63" s="164" t="s">
        <v>135</v>
      </c>
      <c r="D63" s="165" t="str">
        <f>IFERROR(VLOOKUP(C63,元件库!$B:$O,2,FALSE),"")</f>
        <v>福一开</v>
      </c>
      <c r="E63" s="166" t="str">
        <f t="shared" si="17"/>
        <v>只</v>
      </c>
      <c r="F63" s="166">
        <v>3</v>
      </c>
      <c r="G63" s="42">
        <f t="shared" si="18"/>
        <v>45</v>
      </c>
      <c r="H63" s="42">
        <f t="shared" si="19"/>
        <v>135</v>
      </c>
      <c r="I63" s="167"/>
      <c r="J63" s="168">
        <f t="shared" si="20"/>
        <v>1</v>
      </c>
      <c r="K63" s="169">
        <f t="shared" si="21"/>
        <v>45</v>
      </c>
      <c r="L63" s="170">
        <f>IFERROR(VLOOKUP(C63,元件库!$B:$O,10,FALSE),"1.00")</f>
        <v>1</v>
      </c>
      <c r="M63" s="171">
        <f>IFERROR(VLOOKUP(C63,元件库!$B:$O,11,FALSE),"")</f>
        <v>45</v>
      </c>
      <c r="N63" s="172" t="str">
        <f t="shared" ca="1" si="16"/>
        <v/>
      </c>
      <c r="O63" s="157"/>
      <c r="U63" s="162"/>
    </row>
    <row r="64" spans="1:21" s="175" customFormat="1" ht="16.5" customHeight="1" x14ac:dyDescent="0.2">
      <c r="A64" s="38">
        <f>COUNTIF($J$1:J64,"!")</f>
        <v>3</v>
      </c>
      <c r="B64" s="163" t="str">
        <f>IFERROR(VLOOKUP(C64,元件库!$B:$O,3,FALSE),"")</f>
        <v>支柱绝缘子</v>
      </c>
      <c r="C64" s="164" t="s">
        <v>136</v>
      </c>
      <c r="D64" s="165" t="str">
        <f>IFERROR(VLOOKUP(C64,元件库!$B:$O,2,FALSE),"")</f>
        <v>福一开</v>
      </c>
      <c r="E64" s="166" t="str">
        <f t="shared" si="17"/>
        <v>只</v>
      </c>
      <c r="F64" s="166">
        <v>3</v>
      </c>
      <c r="G64" s="42">
        <f t="shared" si="18"/>
        <v>22</v>
      </c>
      <c r="H64" s="42">
        <f t="shared" si="19"/>
        <v>66</v>
      </c>
      <c r="I64" s="167"/>
      <c r="J64" s="168">
        <f t="shared" si="20"/>
        <v>1</v>
      </c>
      <c r="K64" s="169">
        <f t="shared" si="21"/>
        <v>22</v>
      </c>
      <c r="L64" s="170">
        <f>IFERROR(VLOOKUP(C64,元件库!$B:$O,10,FALSE),"1.00")</f>
        <v>1</v>
      </c>
      <c r="M64" s="171">
        <f>IFERROR(VLOOKUP(C64,元件库!$B:$O,11,FALSE),"")</f>
        <v>22</v>
      </c>
      <c r="N64" s="172" t="str">
        <f t="shared" ca="1" si="16"/>
        <v/>
      </c>
      <c r="O64" s="157"/>
      <c r="U64" s="162"/>
    </row>
    <row r="65" spans="1:21" s="175" customFormat="1" ht="16.5" customHeight="1" x14ac:dyDescent="0.2">
      <c r="A65" s="38">
        <f>COUNTIF($J$1:J65,"!")</f>
        <v>3</v>
      </c>
      <c r="B65" s="163" t="str">
        <f>IFERROR(VLOOKUP(C65,元件库!$B:$O,3,FALSE),"")</f>
        <v>电压传感器</v>
      </c>
      <c r="C65" s="164" t="s">
        <v>137</v>
      </c>
      <c r="D65" s="165" t="str">
        <f>IFERROR(VLOOKUP(C65,元件库!$B:$O,2,FALSE),"")</f>
        <v>福一开</v>
      </c>
      <c r="E65" s="166" t="str">
        <f t="shared" si="17"/>
        <v>只</v>
      </c>
      <c r="F65" s="166">
        <v>1</v>
      </c>
      <c r="G65" s="42">
        <f t="shared" si="18"/>
        <v>93</v>
      </c>
      <c r="H65" s="42">
        <f t="shared" si="19"/>
        <v>93</v>
      </c>
      <c r="I65" s="167"/>
      <c r="J65" s="168">
        <f t="shared" si="20"/>
        <v>1</v>
      </c>
      <c r="K65" s="169">
        <f t="shared" si="21"/>
        <v>93</v>
      </c>
      <c r="L65" s="170">
        <f>IFERROR(VLOOKUP(C65,元件库!$B:$O,10,FALSE),"1.00")</f>
        <v>1</v>
      </c>
      <c r="M65" s="171">
        <f>IFERROR(VLOOKUP(C65,元件库!$B:$O,11,FALSE),"")</f>
        <v>93</v>
      </c>
      <c r="N65" s="172" t="str">
        <f t="shared" ca="1" si="16"/>
        <v/>
      </c>
      <c r="O65" s="157"/>
      <c r="U65" s="162"/>
    </row>
    <row r="66" spans="1:21" s="175" customFormat="1" ht="16.5" customHeight="1" x14ac:dyDescent="0.2">
      <c r="A66" s="38">
        <f>COUNTIF($J$1:J66,"!")</f>
        <v>3</v>
      </c>
      <c r="B66" s="163" t="str">
        <f>IFERROR(VLOOKUP(C66,元件库!$B:$O,3,FALSE),"")</f>
        <v>带电显示器</v>
      </c>
      <c r="C66" s="164" t="s">
        <v>1897</v>
      </c>
      <c r="D66" s="165" t="str">
        <f>IFERROR(VLOOKUP(C66,元件库!$B:$O,2,FALSE),"")</f>
        <v>江山鑫源</v>
      </c>
      <c r="E66" s="166" t="str">
        <f t="shared" si="17"/>
        <v>只</v>
      </c>
      <c r="F66" s="166">
        <v>1</v>
      </c>
      <c r="G66" s="42">
        <f>IFERROR(J66*K66,"")</f>
        <v>33</v>
      </c>
      <c r="H66" s="42">
        <f>IFERROR(G66*F66,"")</f>
        <v>33</v>
      </c>
      <c r="I66" s="167"/>
      <c r="J66" s="168">
        <f>P$1</f>
        <v>1</v>
      </c>
      <c r="K66" s="169">
        <f>IFERROR(M66*L66,"")</f>
        <v>33</v>
      </c>
      <c r="L66" s="170">
        <f>IFERROR(VLOOKUP(C66,元件库!$B:$O,10,FALSE),"1.00")</f>
        <v>1</v>
      </c>
      <c r="M66" s="171">
        <f>IFERROR(VLOOKUP(C66,元件库!$B:$O,11,FALSE),"")</f>
        <v>33</v>
      </c>
      <c r="N66" s="172" t="str">
        <f t="shared" ca="1" si="16"/>
        <v/>
      </c>
      <c r="O66" s="157"/>
      <c r="U66" s="162"/>
    </row>
    <row r="67" spans="1:21" s="175" customFormat="1" ht="16.5" customHeight="1" x14ac:dyDescent="0.2">
      <c r="A67" s="38">
        <f>COUNTIF($J$1:J67,"!")</f>
        <v>3</v>
      </c>
      <c r="B67" s="163" t="str">
        <f>IFERROR(VLOOKUP(C67,元件库!$B:$O,3,FALSE),"")</f>
        <v>电磁锁</v>
      </c>
      <c r="C67" s="164" t="s">
        <v>98</v>
      </c>
      <c r="D67" s="165" t="str">
        <f>IFERROR(VLOOKUP(C67,元件库!$B:$O,2,FALSE),"")</f>
        <v>哈陆拉</v>
      </c>
      <c r="E67" s="166" t="str">
        <f t="shared" si="17"/>
        <v>只</v>
      </c>
      <c r="F67" s="166">
        <v>1</v>
      </c>
      <c r="G67" s="42">
        <f>IFERROR(J67*K67,"")</f>
        <v>55</v>
      </c>
      <c r="H67" s="42">
        <f>IFERROR(G67*F67,"")</f>
        <v>55</v>
      </c>
      <c r="I67" s="167"/>
      <c r="J67" s="168">
        <f t="shared" ref="J67:J74" si="22">P$1</f>
        <v>1</v>
      </c>
      <c r="K67" s="169">
        <f>IFERROR(M67*L67,"")</f>
        <v>55</v>
      </c>
      <c r="L67" s="170">
        <f>IFERROR(VLOOKUP(C67,元件库!$B:$O,10,FALSE),"1.00")</f>
        <v>1</v>
      </c>
      <c r="M67" s="171">
        <f>IFERROR(VLOOKUP(C67,元件库!$B:$O,11,FALSE),"")</f>
        <v>55</v>
      </c>
      <c r="N67" s="172" t="str">
        <f t="shared" ca="1" si="16"/>
        <v/>
      </c>
      <c r="O67" s="157"/>
      <c r="U67" s="162"/>
    </row>
    <row r="68" spans="1:21" s="175" customFormat="1" ht="16.5" customHeight="1" x14ac:dyDescent="0.2">
      <c r="A68" s="38">
        <f>COUNTIF($J$1:J68,"!")</f>
        <v>3</v>
      </c>
      <c r="B68" s="163" t="str">
        <f>IFERROR(VLOOKUP(C68,元件库!$B:$O,3,FALSE),"")</f>
        <v>温湿度控制器</v>
      </c>
      <c r="C68" s="164" t="s">
        <v>3292</v>
      </c>
      <c r="D68" s="165" t="str">
        <f>IFERROR(VLOOKUP(C68,元件库!$B:$O,2,FALSE),"")</f>
        <v>实德电气</v>
      </c>
      <c r="E68" s="166" t="str">
        <f t="shared" si="17"/>
        <v>只</v>
      </c>
      <c r="F68" s="166">
        <v>1</v>
      </c>
      <c r="G68" s="42">
        <f t="shared" ref="G68:G74" si="23">IFERROR(J68*K68,"")</f>
        <v>80</v>
      </c>
      <c r="H68" s="42">
        <f t="shared" ref="H68:H74" si="24">IFERROR(G68*F68,"")</f>
        <v>80</v>
      </c>
      <c r="I68" s="167"/>
      <c r="J68" s="168">
        <f t="shared" si="22"/>
        <v>1</v>
      </c>
      <c r="K68" s="169">
        <f t="shared" ref="K68:K74" si="25">IFERROR(M68*L68,"")</f>
        <v>80</v>
      </c>
      <c r="L68" s="170">
        <f>IFERROR(VLOOKUP(C68,元件库!$B:$O,10,FALSE),"1.00")</f>
        <v>1</v>
      </c>
      <c r="M68" s="171">
        <f>IFERROR(VLOOKUP(C68,元件库!$B:$O,11,FALSE),"")</f>
        <v>80</v>
      </c>
      <c r="N68" s="172" t="str">
        <f t="shared" ca="1" si="16"/>
        <v/>
      </c>
      <c r="O68" s="157"/>
    </row>
    <row r="69" spans="1:21" s="175" customFormat="1" ht="16.5" customHeight="1" x14ac:dyDescent="0.2">
      <c r="A69" s="38">
        <f>COUNTIF($J$1:J69,"!")</f>
        <v>3</v>
      </c>
      <c r="B69" s="163" t="str">
        <f>IFERROR(VLOOKUP(C69,元件库!$B:$O,3,FALSE),"")</f>
        <v>加热器</v>
      </c>
      <c r="C69" s="164" t="s">
        <v>101</v>
      </c>
      <c r="D69" s="165" t="str">
        <f>IFERROR(VLOOKUP(C69,元件库!$B:$O,2,FALSE),"")</f>
        <v>实德电气</v>
      </c>
      <c r="E69" s="166" t="str">
        <f t="shared" si="17"/>
        <v>只</v>
      </c>
      <c r="F69" s="166">
        <v>2</v>
      </c>
      <c r="G69" s="42">
        <f t="shared" si="23"/>
        <v>18</v>
      </c>
      <c r="H69" s="42">
        <f t="shared" si="24"/>
        <v>36</v>
      </c>
      <c r="I69" s="167"/>
      <c r="J69" s="168">
        <f t="shared" si="22"/>
        <v>1</v>
      </c>
      <c r="K69" s="169">
        <f t="shared" si="25"/>
        <v>18</v>
      </c>
      <c r="L69" s="170">
        <f>IFERROR(VLOOKUP(C69,元件库!$B:$O,10,FALSE),"1.00")</f>
        <v>1</v>
      </c>
      <c r="M69" s="171">
        <f>IFERROR(VLOOKUP(C69,元件库!$B:$O,11,FALSE),"")</f>
        <v>18</v>
      </c>
      <c r="N69" s="172" t="str">
        <f t="shared" ca="1" si="16"/>
        <v/>
      </c>
      <c r="O69" s="157"/>
    </row>
    <row r="70" spans="1:21" s="175" customFormat="1" ht="16.5" customHeight="1" x14ac:dyDescent="0.2">
      <c r="A70" s="38">
        <f>COUNTIF($J$1:J70,"!")</f>
        <v>3</v>
      </c>
      <c r="B70" s="163" t="str">
        <f>IFERROR(VLOOKUP(C70,元件库!$B:$O,3,FALSE),"")</f>
        <v>高压热缩管</v>
      </c>
      <c r="C70" s="185" t="str">
        <f>"10KV"&amp;MID(C73,4,10)</f>
        <v>10KV-80*8</v>
      </c>
      <c r="D70" s="165" t="str">
        <f>IFERROR(VLOOKUP(C70,元件库!$B:$O,2,FALSE),"")</f>
        <v>精益联合集团</v>
      </c>
      <c r="E70" s="166" t="str">
        <f t="shared" si="17"/>
        <v>只</v>
      </c>
      <c r="F70" s="166">
        <f>ROUND(SUM(F71:F74),0)</f>
        <v>14</v>
      </c>
      <c r="G70" s="42">
        <f t="shared" si="23"/>
        <v>17</v>
      </c>
      <c r="H70" s="42">
        <f t="shared" si="24"/>
        <v>238</v>
      </c>
      <c r="I70" s="167"/>
      <c r="J70" s="168">
        <f t="shared" si="22"/>
        <v>1</v>
      </c>
      <c r="K70" s="169">
        <f t="shared" si="25"/>
        <v>17</v>
      </c>
      <c r="L70" s="170">
        <f>IFERROR(VLOOKUP(C70,元件库!$B:$O,10,FALSE),"1.00")</f>
        <v>1</v>
      </c>
      <c r="M70" s="171">
        <f>IFERROR(VLOOKUP(C70,元件库!$B:$O,11,FALSE),"")</f>
        <v>17</v>
      </c>
      <c r="N70" s="172" t="str">
        <f t="shared" ca="1" si="16"/>
        <v/>
      </c>
      <c r="O70" s="157"/>
    </row>
    <row r="71" spans="1:21" s="175" customFormat="1" ht="16.5" customHeight="1" x14ac:dyDescent="0.2">
      <c r="A71" s="38">
        <f>COUNTIF($J$1:J71,"!")</f>
        <v>3</v>
      </c>
      <c r="B71" s="163" t="str">
        <f>IFERROR(VLOOKUP(C71,元件库!$B:$O,3,FALSE),"")</f>
        <v>铜排</v>
      </c>
      <c r="C71" s="185" t="s">
        <v>2225</v>
      </c>
      <c r="D71" s="165" t="str">
        <f>IFERROR(VLOOKUP(C71,元件库!$B:$O,2,FALSE),"")</f>
        <v>欣利铜材</v>
      </c>
      <c r="E71" s="166" t="str">
        <f t="shared" si="17"/>
        <v>米</v>
      </c>
      <c r="F71" s="166">
        <v>8</v>
      </c>
      <c r="G71" s="42">
        <f t="shared" si="23"/>
        <v>324.67199999999997</v>
      </c>
      <c r="H71" s="42">
        <f t="shared" si="24"/>
        <v>2597.3759999999997</v>
      </c>
      <c r="I71" s="167"/>
      <c r="J71" s="168">
        <f t="shared" si="22"/>
        <v>1</v>
      </c>
      <c r="K71" s="169">
        <f t="shared" si="25"/>
        <v>324.67199999999997</v>
      </c>
      <c r="L71" s="170">
        <f>IFERROR(VLOOKUP(C71,元件库!$B:$O,10,FALSE),"1.00")</f>
        <v>1</v>
      </c>
      <c r="M71" s="171">
        <f>IFERROR(VLOOKUP(C71,元件库!$B:$O,11,FALSE),"")</f>
        <v>324.67199999999997</v>
      </c>
      <c r="N71" s="172" t="str">
        <f t="shared" ca="1" si="16"/>
        <v/>
      </c>
      <c r="O71" s="174" t="str">
        <f>O74</f>
        <v>KYN28A-800*1500*2300</v>
      </c>
    </row>
    <row r="72" spans="1:21" s="175" customFormat="1" ht="16.5" customHeight="1" x14ac:dyDescent="0.2">
      <c r="A72" s="38">
        <f>COUNTIF($J$1:J72,"!")</f>
        <v>3</v>
      </c>
      <c r="B72" s="163" t="str">
        <f>IFERROR(VLOOKUP(C72,元件库!$B:$O,3,FALSE),"")</f>
        <v>铜排</v>
      </c>
      <c r="C72" s="185" t="s">
        <v>1910</v>
      </c>
      <c r="D72" s="165" t="str">
        <f>IFERROR(VLOOKUP(C72,元件库!$B:$O,2,FALSE),"")</f>
        <v>欣利铜材</v>
      </c>
      <c r="E72" s="166" t="str">
        <f t="shared" si="17"/>
        <v>米</v>
      </c>
      <c r="F72" s="166">
        <v>3</v>
      </c>
      <c r="G72" s="42">
        <f t="shared" si="23"/>
        <v>45.656999999999996</v>
      </c>
      <c r="H72" s="42">
        <f t="shared" si="24"/>
        <v>136.971</v>
      </c>
      <c r="I72" s="167"/>
      <c r="J72" s="168">
        <f t="shared" si="22"/>
        <v>1</v>
      </c>
      <c r="K72" s="169">
        <f t="shared" si="25"/>
        <v>45.656999999999996</v>
      </c>
      <c r="L72" s="170">
        <f>IFERROR(VLOOKUP(C72,元件库!$B:$O,10,FALSE),"1.00")</f>
        <v>1</v>
      </c>
      <c r="M72" s="171">
        <f>IFERROR(VLOOKUP(C72,元件库!$B:$O,11,FALSE),"")</f>
        <v>45.656999999999996</v>
      </c>
      <c r="N72" s="172" t="str">
        <f t="shared" ca="1" si="16"/>
        <v/>
      </c>
      <c r="O72" s="174">
        <f>O75</f>
        <v>0</v>
      </c>
    </row>
    <row r="73" spans="1:21" s="175" customFormat="1" ht="16.5" customHeight="1" x14ac:dyDescent="0.2">
      <c r="A73" s="38">
        <f>COUNTIF($J$1:J73,"!")</f>
        <v>3</v>
      </c>
      <c r="B73" s="163" t="s">
        <v>2171</v>
      </c>
      <c r="C73" s="185" t="s">
        <v>2225</v>
      </c>
      <c r="D73" s="165" t="str">
        <f>IFERROR(VLOOKUP(C73,元件库!$B:$O,2,FALSE),"")</f>
        <v>欣利铜材</v>
      </c>
      <c r="E73" s="166" t="str">
        <f t="shared" si="17"/>
        <v>米</v>
      </c>
      <c r="F73" s="166">
        <f>1*MID(O73,FIND("-",O73)+1,FIND("*",O73)-FIND("-",O73)-1)/1000*IF(B73="水平排",3,1)+IF(AND(B73="零母排",VLOOKUP(A73,A$1:B69,2,FALSE)="低压进线柜"),1.5,0)</f>
        <v>2.4000000000000004</v>
      </c>
      <c r="G73" s="42">
        <f t="shared" si="23"/>
        <v>324.67199999999997</v>
      </c>
      <c r="H73" s="42">
        <f t="shared" si="24"/>
        <v>779.21280000000002</v>
      </c>
      <c r="I73" s="167"/>
      <c r="J73" s="168">
        <f t="shared" si="22"/>
        <v>1</v>
      </c>
      <c r="K73" s="169">
        <f t="shared" si="25"/>
        <v>324.67199999999997</v>
      </c>
      <c r="L73" s="170">
        <f>IFERROR(VLOOKUP(C73,元件库!$B:$O,10,FALSE),"1.00")</f>
        <v>1</v>
      </c>
      <c r="M73" s="171">
        <f>IFERROR(VLOOKUP(C73,元件库!$B:$O,11,FALSE),"")</f>
        <v>324.67199999999997</v>
      </c>
      <c r="N73" s="172" t="str">
        <f t="shared" ca="1" si="16"/>
        <v/>
      </c>
      <c r="O73" s="174" t="str">
        <f>O76</f>
        <v>KYN28A-800*1500*2300</v>
      </c>
    </row>
    <row r="74" spans="1:21" s="175" customFormat="1" ht="16.5" customHeight="1" x14ac:dyDescent="0.2">
      <c r="A74" s="38">
        <f>COUNTIF($J$1:J74,"!")</f>
        <v>3</v>
      </c>
      <c r="B74" s="163" t="s">
        <v>2172</v>
      </c>
      <c r="C74" s="185" t="s">
        <v>2673</v>
      </c>
      <c r="D74" s="165" t="str">
        <f>IFERROR(VLOOKUP(C74,元件库!$B:$O,2,FALSE),"")</f>
        <v>欣利铜材</v>
      </c>
      <c r="E74" s="166" t="str">
        <f t="shared" si="17"/>
        <v>米</v>
      </c>
      <c r="F74" s="166">
        <f>1*MID(O74,FIND("-",O74)+1,FIND("*",O74)-FIND("-",O74)-1)/1000*IF(B74="水平排",3,1)+IF(AND(B74="零母排",VLOOKUP(A74,A$1:B70,2,FALSE)="低压进线柜"),1.5,0)</f>
        <v>0.8</v>
      </c>
      <c r="G74" s="42">
        <f t="shared" si="23"/>
        <v>126.82499999999999</v>
      </c>
      <c r="H74" s="42">
        <f t="shared" si="24"/>
        <v>101.46</v>
      </c>
      <c r="I74" s="167"/>
      <c r="J74" s="168">
        <f t="shared" si="22"/>
        <v>1</v>
      </c>
      <c r="K74" s="169">
        <f t="shared" si="25"/>
        <v>126.82499999999999</v>
      </c>
      <c r="L74" s="170">
        <f>IFERROR(VLOOKUP(C74,元件库!$B:$O,10,FALSE),"1.00")</f>
        <v>1</v>
      </c>
      <c r="M74" s="171">
        <f>IFERROR(VLOOKUP(C74,元件库!$B:$O,11,FALSE),"")</f>
        <v>126.82499999999999</v>
      </c>
      <c r="N74" s="172" t="str">
        <f t="shared" ca="1" si="16"/>
        <v/>
      </c>
      <c r="O74" s="174" t="str">
        <f>O77</f>
        <v>KYN28A-800*1500*2300</v>
      </c>
    </row>
    <row r="75" spans="1:21" s="162" customFormat="1" ht="16.5" customHeight="1" x14ac:dyDescent="0.2">
      <c r="A75" s="38">
        <f>COUNTIF($J$1:J75,"!")</f>
        <v>3</v>
      </c>
      <c r="B75" s="177" t="s">
        <v>107</v>
      </c>
      <c r="C75" s="164"/>
      <c r="D75" s="166"/>
      <c r="E75" s="166"/>
      <c r="F75" s="166"/>
      <c r="G75" s="42"/>
      <c r="H75" s="42"/>
      <c r="I75" s="178">
        <f>SUM(H55:H75)</f>
        <v>14223.019799999998</v>
      </c>
      <c r="J75" s="168"/>
      <c r="K75" s="169"/>
      <c r="L75" s="170"/>
      <c r="M75" s="171"/>
      <c r="O75" s="161"/>
      <c r="P75" s="157"/>
    </row>
    <row r="76" spans="1:21" ht="16.5" customHeight="1" x14ac:dyDescent="0.2">
      <c r="A76" s="38">
        <f>COUNTIF($J$1:J76,"!")</f>
        <v>3</v>
      </c>
      <c r="B76" s="179" t="s">
        <v>47</v>
      </c>
      <c r="C76" s="164"/>
      <c r="D76" s="166"/>
      <c r="E76" s="166"/>
      <c r="F76" s="166"/>
      <c r="G76" s="42"/>
      <c r="H76" s="42">
        <f>IFERROR(J76*M76*L76,"")</f>
        <v>900</v>
      </c>
      <c r="I76" s="167"/>
      <c r="J76" s="168">
        <f>P$1</f>
        <v>1</v>
      </c>
      <c r="K76" s="169">
        <f>IFERROR(M76*L76,"")</f>
        <v>900</v>
      </c>
      <c r="L76" s="170" t="str">
        <f>IFERROR(VLOOKUP(C76,元件库!$B:$O,10,FALSE),"1.00")</f>
        <v>1.00</v>
      </c>
      <c r="M76" s="171">
        <f>IF(ISNUMBER(FIND("提升",VLOOKUP(A76,A$1:B75,2,FALSE))),IF(B76="成套费",400,200),IF(OR(ISNUMBER(FIND("XGN",O76)),ISNUMBER(FIND("HXGN",O76))),IF(B76="成套费",800,600),IF(ISNUMBER(FIND("KYN28",O76)),IF(B76="成套费",900,700),"")))</f>
        <v>900</v>
      </c>
      <c r="O76" s="180" t="str">
        <f>C55</f>
        <v>KYN28A-800*1500*2300</v>
      </c>
    </row>
    <row r="77" spans="1:21" s="161" customFormat="1" ht="16.5" customHeight="1" x14ac:dyDescent="0.2">
      <c r="A77" s="38">
        <f>COUNTIF($J$1:J77,"!")</f>
        <v>3</v>
      </c>
      <c r="B77" s="179" t="s">
        <v>49</v>
      </c>
      <c r="C77" s="164"/>
      <c r="D77" s="166"/>
      <c r="E77" s="166"/>
      <c r="F77" s="166"/>
      <c r="G77" s="42"/>
      <c r="H77" s="42">
        <f>IFERROR(J77*M77*L77,"")</f>
        <v>700</v>
      </c>
      <c r="I77" s="167"/>
      <c r="J77" s="168">
        <f>P$1</f>
        <v>1</v>
      </c>
      <c r="K77" s="169">
        <f>IFERROR(M77*L77,"")</f>
        <v>700</v>
      </c>
      <c r="L77" s="170" t="str">
        <f>IFERROR(VLOOKUP(C77,元件库!$B:$O,10,FALSE),"1.00")</f>
        <v>1.00</v>
      </c>
      <c r="M77" s="171">
        <f>IF(ISNUMBER(FIND("提升",VLOOKUP(A77,A$1:B76,2,FALSE))),IF(B77="成套费",400,200),IF(OR(ISNUMBER(FIND("XGN",O77)),ISNUMBER(FIND("HXGN",O77))),IF(B77="成套费",800,600),IF(ISNUMBER(FIND("KYN28",O77)),IF(B77="成套费",900,700),"")))</f>
        <v>700</v>
      </c>
      <c r="O77" s="174" t="str">
        <f>O76</f>
        <v>KYN28A-800*1500*2300</v>
      </c>
      <c r="P77" s="162"/>
      <c r="Q77" s="162"/>
    </row>
    <row r="78" spans="1:21" s="161" customFormat="1" ht="16.5" customHeight="1" x14ac:dyDescent="0.2">
      <c r="A78" s="38">
        <f>COUNTIF($J$1:J78,"!")</f>
        <v>3</v>
      </c>
      <c r="B78" s="179" t="s">
        <v>79</v>
      </c>
      <c r="C78" s="164"/>
      <c r="D78" s="166"/>
      <c r="E78" s="166"/>
      <c r="F78" s="166"/>
      <c r="G78" s="42"/>
      <c r="H78" s="42">
        <f>K78*L78</f>
        <v>1898.7623759999997</v>
      </c>
      <c r="I78" s="167"/>
      <c r="J78" s="168"/>
      <c r="K78" s="169">
        <f>SUM(H76:H77)+I75</f>
        <v>15823.019799999998</v>
      </c>
      <c r="L78" s="279">
        <f>R$1</f>
        <v>0.12</v>
      </c>
      <c r="M78" s="171"/>
      <c r="O78" s="181"/>
      <c r="P78" s="162"/>
      <c r="Q78" s="162"/>
    </row>
    <row r="79" spans="1:21" ht="16.5" customHeight="1" x14ac:dyDescent="0.2">
      <c r="A79" s="38">
        <f>COUNTIF($J$1:J79,"!")</f>
        <v>3</v>
      </c>
      <c r="B79" s="179" t="s">
        <v>108</v>
      </c>
      <c r="C79" s="164"/>
      <c r="D79" s="166"/>
      <c r="E79" s="166"/>
      <c r="F79" s="166"/>
      <c r="G79" s="184"/>
      <c r="H79" s="42">
        <f>K79*L79</f>
        <v>1063.3069305599997</v>
      </c>
      <c r="I79" s="167"/>
      <c r="J79" s="168"/>
      <c r="K79" s="169">
        <f>H78+K78</f>
        <v>17721.782175999997</v>
      </c>
      <c r="L79" s="279">
        <f>T$1</f>
        <v>0.06</v>
      </c>
      <c r="M79" s="171"/>
    </row>
    <row r="80" spans="1:21" s="162" customFormat="1" ht="16.5" customHeight="1" x14ac:dyDescent="0.15">
      <c r="A80" s="32">
        <f>COUNTIF($J$1:J80,"!")</f>
        <v>4</v>
      </c>
      <c r="B80" s="33" t="s">
        <v>1886</v>
      </c>
      <c r="C80" s="277" t="s">
        <v>4060</v>
      </c>
      <c r="D80" s="159"/>
      <c r="E80" s="34" t="s">
        <v>23</v>
      </c>
      <c r="F80" s="159">
        <v>5</v>
      </c>
      <c r="G80" s="36">
        <f>ROUND(SUM(H81:H107),0)</f>
        <v>23047</v>
      </c>
      <c r="H80" s="160" t="str">
        <f>IF(ISNUMBER(FIND(" ",C81)),MID(C81,1,FIND(" ",C81)-1),IF(ISNUMBER(FIND("电容柜",B80)),"GGJ",MID(C81,1,FIND("-",C81)-1)))</f>
        <v>KYN28A</v>
      </c>
      <c r="I80" s="47" t="str">
        <f>MID(C81,IF(LEN(C81)-LEN(H80)&gt;3,LEN(H80)+2,1),30)</f>
        <v>800*1500*2300</v>
      </c>
      <c r="J80" s="48" t="s">
        <v>24</v>
      </c>
      <c r="K80" s="49"/>
      <c r="L80" s="50"/>
      <c r="M80" s="51"/>
      <c r="N80" s="172"/>
      <c r="O80" s="161"/>
    </row>
    <row r="81" spans="1:21" s="175" customFormat="1" ht="16.5" customHeight="1" x14ac:dyDescent="0.2">
      <c r="A81" s="38">
        <f>COUNTIF($J$1:J81,"!")</f>
        <v>4</v>
      </c>
      <c r="B81" s="163" t="str">
        <f>IFERROR(VLOOKUP(C81,元件库!$B:$O,3,FALSE),"")</f>
        <v>壳体W*D*H</v>
      </c>
      <c r="C81" s="164" t="s">
        <v>4057</v>
      </c>
      <c r="D81" s="165" t="str">
        <f>IFERROR(VLOOKUP(C81,元件库!$B:$O,2,FALSE),"")</f>
        <v>精益联合集团</v>
      </c>
      <c r="E81" s="166" t="str">
        <f>IF(D81="欣利铜材","米",IF(B81="氧化锌避雷器","组","只"))</f>
        <v>只</v>
      </c>
      <c r="F81" s="166">
        <v>1</v>
      </c>
      <c r="G81" s="42">
        <f>IFERROR(J81*K81,"")</f>
        <v>4560</v>
      </c>
      <c r="H81" s="42">
        <f>IFERROR(G81*F81,"")</f>
        <v>4560</v>
      </c>
      <c r="I81" s="167"/>
      <c r="J81" s="168">
        <f>P$1</f>
        <v>1</v>
      </c>
      <c r="K81" s="169">
        <f>IFERROR(M81*L81,"")</f>
        <v>4560</v>
      </c>
      <c r="L81" s="170">
        <v>0.95</v>
      </c>
      <c r="M81" s="171">
        <f>IFERROR(VLOOKUP(C81,元件库!$B:$O,11,FALSE),"")</f>
        <v>4800</v>
      </c>
      <c r="N81" s="172" t="str">
        <f t="shared" ref="N81:N102" ca="1" si="26">IF(AND(ISNUMBER(FIND("IF",_xlfn.FORMULATEXT(L81))),ISNUMBER(FIND("IF",_xlfn.FORMULATEXT(M81)))),"","值")</f>
        <v>值</v>
      </c>
      <c r="O81" s="157"/>
      <c r="U81" s="162"/>
    </row>
    <row r="82" spans="1:21" s="175" customFormat="1" ht="16.5" customHeight="1" x14ac:dyDescent="0.2">
      <c r="A82" s="38">
        <f>COUNTIF($J$1:J82,"!")</f>
        <v>4</v>
      </c>
      <c r="B82" s="163" t="str">
        <f>IFERROR(VLOOKUP(C82,元件库!$B:$O,3,FALSE),"")</f>
        <v>真空断路器</v>
      </c>
      <c r="C82" s="164" t="s">
        <v>4061</v>
      </c>
      <c r="D82" s="165" t="s">
        <v>4058</v>
      </c>
      <c r="E82" s="166" t="str">
        <f>IF(D82="欣利铜材","米",IF(B82="氧化锌避雷器","组","只"))</f>
        <v>只</v>
      </c>
      <c r="F82" s="166">
        <v>1</v>
      </c>
      <c r="G82" s="42">
        <f>IFERROR(J82*K82,"")</f>
        <v>4800</v>
      </c>
      <c r="H82" s="42">
        <f>IFERROR(G82*F82,"")</f>
        <v>4800</v>
      </c>
      <c r="I82" s="167"/>
      <c r="J82" s="168">
        <f>P$1</f>
        <v>1</v>
      </c>
      <c r="K82" s="169">
        <f>IFERROR(M82*L82,"")</f>
        <v>4800</v>
      </c>
      <c r="L82" s="170">
        <f>IFERROR(VLOOKUP(C82,元件库!$B:$O,10,FALSE),"1.00")</f>
        <v>1</v>
      </c>
      <c r="M82" s="171">
        <f>IFERROR(VLOOKUP(C82,元件库!$B:$O,11,FALSE),"")</f>
        <v>4800</v>
      </c>
      <c r="N82" s="172" t="str">
        <f t="shared" ca="1" si="26"/>
        <v/>
      </c>
      <c r="O82" s="157"/>
      <c r="U82" s="162"/>
    </row>
    <row r="83" spans="1:21" s="175" customFormat="1" ht="16.5" customHeight="1" x14ac:dyDescent="0.2">
      <c r="A83" s="38">
        <f>COUNTIF($J$1:J83,"!")</f>
        <v>4</v>
      </c>
      <c r="B83" s="163" t="str">
        <f>IFERROR(VLOOKUP(C83,元件库!$B:$O,3,FALSE),"")</f>
        <v>微机保护装置</v>
      </c>
      <c r="C83" s="164" t="s">
        <v>3964</v>
      </c>
      <c r="D83" s="165" t="str">
        <f>IFERROR(VLOOKUP(C83,元件库!$B:$O,2,FALSE),"")</f>
        <v>上海知棋</v>
      </c>
      <c r="E83" s="166" t="str">
        <f>IF(D83="欣利铜材","米",IF(B83="氧化锌避雷器","组","只"))</f>
        <v>只</v>
      </c>
      <c r="F83" s="166">
        <v>1</v>
      </c>
      <c r="G83" s="42">
        <f>IFERROR(J83*K83,"")</f>
        <v>1500</v>
      </c>
      <c r="H83" s="42">
        <f>IFERROR(G83*F83,"")</f>
        <v>1500</v>
      </c>
      <c r="I83" s="167"/>
      <c r="J83" s="168">
        <f>P$1</f>
        <v>1</v>
      </c>
      <c r="K83" s="169">
        <f>IFERROR(M83*L83,"")</f>
        <v>1500</v>
      </c>
      <c r="L83" s="170">
        <f>IFERROR(VLOOKUP(C83,元件库!$B:$O,10,FALSE),"1.00")</f>
        <v>1</v>
      </c>
      <c r="M83" s="171">
        <f>IFERROR(VLOOKUP(C83,元件库!$B:$O,11,FALSE),"")</f>
        <v>1500</v>
      </c>
      <c r="N83" s="172" t="str">
        <f t="shared" ca="1" si="26"/>
        <v/>
      </c>
      <c r="O83" s="157"/>
      <c r="U83" s="162"/>
    </row>
    <row r="84" spans="1:21" s="175" customFormat="1" ht="16.5" customHeight="1" x14ac:dyDescent="0.2">
      <c r="A84" s="38">
        <f>COUNTIF($J$1:J84,"!")</f>
        <v>4</v>
      </c>
      <c r="B84" s="163" t="str">
        <f>IFERROR(VLOOKUP(C84,元件库!$B:$O,3,FALSE),"")</f>
        <v>电流互感器</v>
      </c>
      <c r="C84" s="164" t="s">
        <v>4062</v>
      </c>
      <c r="D84" s="165" t="s">
        <v>4059</v>
      </c>
      <c r="E84" s="166" t="str">
        <f t="shared" ref="E84:E102" si="27">IF(D84="欣利铜材","米",IF(B84="氧化锌避雷器","组","只"))</f>
        <v>只</v>
      </c>
      <c r="F84" s="166">
        <v>3</v>
      </c>
      <c r="G84" s="42">
        <f t="shared" ref="G84:G94" si="28">IFERROR(J84*K84,"")</f>
        <v>560</v>
      </c>
      <c r="H84" s="42">
        <f t="shared" ref="H84:H94" si="29">IFERROR(G84*F84,"")</f>
        <v>1680</v>
      </c>
      <c r="I84" s="167"/>
      <c r="J84" s="168">
        <f t="shared" ref="J84:J94" si="30">P$1</f>
        <v>1</v>
      </c>
      <c r="K84" s="169">
        <f t="shared" ref="K84:K94" si="31">IFERROR(M84*L84,"")</f>
        <v>560</v>
      </c>
      <c r="L84" s="170">
        <f>IFERROR(VLOOKUP(C84,元件库!$B:$O,10,FALSE),"1.00")</f>
        <v>1</v>
      </c>
      <c r="M84" s="171">
        <f>IFERROR(VLOOKUP(C84,元件库!$B:$O,11,FALSE),"")</f>
        <v>560</v>
      </c>
      <c r="N84" s="172" t="str">
        <f t="shared" ca="1" si="26"/>
        <v/>
      </c>
      <c r="O84" s="157"/>
    </row>
    <row r="85" spans="1:21" s="175" customFormat="1" ht="16.5" customHeight="1" x14ac:dyDescent="0.2">
      <c r="A85" s="38">
        <f>COUNTIF($J$1:J85,"!")</f>
        <v>4</v>
      </c>
      <c r="B85" s="163" t="str">
        <f>IFERROR(VLOOKUP(C85,元件库!$B:$O,3,FALSE),"")</f>
        <v>电流.电压表</v>
      </c>
      <c r="C85" s="164" t="s">
        <v>3291</v>
      </c>
      <c r="D85" s="165" t="str">
        <f>IFERROR(VLOOKUP(C85,元件库!$B:$O,2,FALSE),"")</f>
        <v>精益联合集团</v>
      </c>
      <c r="E85" s="166" t="str">
        <f t="shared" si="27"/>
        <v>只</v>
      </c>
      <c r="F85" s="166">
        <v>3</v>
      </c>
      <c r="G85" s="42">
        <f t="shared" si="28"/>
        <v>13.750000000000002</v>
      </c>
      <c r="H85" s="42">
        <f t="shared" si="29"/>
        <v>41.250000000000007</v>
      </c>
      <c r="I85" s="167"/>
      <c r="J85" s="168">
        <f t="shared" si="30"/>
        <v>1</v>
      </c>
      <c r="K85" s="169">
        <f t="shared" si="31"/>
        <v>13.750000000000002</v>
      </c>
      <c r="L85" s="170">
        <f>IFERROR(VLOOKUP(C85,元件库!$B:$O,10,FALSE),"1.00")</f>
        <v>0.55000000000000004</v>
      </c>
      <c r="M85" s="171">
        <f>IFERROR(VLOOKUP(C85,元件库!$B:$O,11,FALSE),"")</f>
        <v>25</v>
      </c>
      <c r="N85" s="172" t="str">
        <f t="shared" ca="1" si="26"/>
        <v/>
      </c>
      <c r="O85" s="157"/>
    </row>
    <row r="86" spans="1:21" s="175" customFormat="1" ht="16.5" customHeight="1" x14ac:dyDescent="0.2">
      <c r="A86" s="38">
        <f>COUNTIF($J$1:J86,"!")</f>
        <v>4</v>
      </c>
      <c r="B86" s="163" t="str">
        <f>IFERROR(VLOOKUP(C86,元件库!$B:$O,3,FALSE),"")</f>
        <v>零序互感器</v>
      </c>
      <c r="C86" s="164" t="s">
        <v>4063</v>
      </c>
      <c r="D86" s="165" t="s">
        <v>4059</v>
      </c>
      <c r="E86" s="166" t="str">
        <f t="shared" si="27"/>
        <v>只</v>
      </c>
      <c r="F86" s="166">
        <v>1</v>
      </c>
      <c r="G86" s="42">
        <f t="shared" si="28"/>
        <v>240</v>
      </c>
      <c r="H86" s="42">
        <f t="shared" si="29"/>
        <v>240</v>
      </c>
      <c r="I86" s="167"/>
      <c r="J86" s="168">
        <f t="shared" si="30"/>
        <v>1</v>
      </c>
      <c r="K86" s="169">
        <f t="shared" si="31"/>
        <v>240</v>
      </c>
      <c r="L86" s="170">
        <f>IFERROR(VLOOKUP(C86,元件库!$B:$O,10,FALSE),"1.00")</f>
        <v>1</v>
      </c>
      <c r="M86" s="171">
        <f>IFERROR(VLOOKUP(C86,元件库!$B:$O,11,FALSE),"")</f>
        <v>240</v>
      </c>
      <c r="N86" s="172" t="str">
        <f t="shared" ca="1" si="26"/>
        <v/>
      </c>
      <c r="O86" s="157"/>
    </row>
    <row r="87" spans="1:21" s="175" customFormat="1" ht="16.5" customHeight="1" x14ac:dyDescent="0.2">
      <c r="A87" s="38">
        <f>COUNTIF($J$1:J87,"!")</f>
        <v>4</v>
      </c>
      <c r="B87" s="163" t="str">
        <f>IFERROR(VLOOKUP(C87,元件库!$B:$O,3,FALSE),"")</f>
        <v>接地开关</v>
      </c>
      <c r="C87" s="164" t="s">
        <v>3296</v>
      </c>
      <c r="D87" s="165" t="str">
        <f>IFERROR(VLOOKUP(C87,元件库!$B:$O,2,FALSE),"")</f>
        <v>博时达</v>
      </c>
      <c r="E87" s="166" t="str">
        <f t="shared" si="27"/>
        <v>只</v>
      </c>
      <c r="F87" s="166">
        <v>1</v>
      </c>
      <c r="G87" s="42">
        <f t="shared" si="28"/>
        <v>550</v>
      </c>
      <c r="H87" s="42">
        <f t="shared" si="29"/>
        <v>550</v>
      </c>
      <c r="I87" s="167"/>
      <c r="J87" s="168">
        <f t="shared" si="30"/>
        <v>1</v>
      </c>
      <c r="K87" s="169">
        <f t="shared" si="31"/>
        <v>550</v>
      </c>
      <c r="L87" s="170">
        <f>IFERROR(VLOOKUP(C87,元件库!$B:$O,10,FALSE),"1.00")</f>
        <v>1</v>
      </c>
      <c r="M87" s="171">
        <f>IFERROR(VLOOKUP(C87,元件库!$B:$O,11,FALSE),"")</f>
        <v>550</v>
      </c>
      <c r="N87" s="172" t="str">
        <f t="shared" ca="1" si="26"/>
        <v/>
      </c>
      <c r="O87" s="157"/>
      <c r="U87" s="162"/>
    </row>
    <row r="88" spans="1:21" s="175" customFormat="1" ht="16.5" customHeight="1" x14ac:dyDescent="0.2">
      <c r="A88" s="38">
        <f>COUNTIF($J$1:J88,"!")</f>
        <v>4</v>
      </c>
      <c r="B88" s="163" t="str">
        <f>IFERROR(VLOOKUP(C88,元件库!$B:$O,3,FALSE),"")</f>
        <v>接地连锁</v>
      </c>
      <c r="C88" s="164" t="s">
        <v>3297</v>
      </c>
      <c r="D88" s="165" t="str">
        <f>IFERROR(VLOOKUP(C88,元件库!$B:$O,2,FALSE),"")</f>
        <v>精益联合集团</v>
      </c>
      <c r="E88" s="166" t="str">
        <f t="shared" si="27"/>
        <v>只</v>
      </c>
      <c r="F88" s="166">
        <v>1</v>
      </c>
      <c r="G88" s="42">
        <f t="shared" si="28"/>
        <v>240</v>
      </c>
      <c r="H88" s="42">
        <f t="shared" si="29"/>
        <v>240</v>
      </c>
      <c r="I88" s="167"/>
      <c r="J88" s="168">
        <f t="shared" si="30"/>
        <v>1</v>
      </c>
      <c r="K88" s="169">
        <f t="shared" si="31"/>
        <v>240</v>
      </c>
      <c r="L88" s="170">
        <f>IFERROR(VLOOKUP(C88,元件库!$B:$O,10,FALSE),"1.00")</f>
        <v>1</v>
      </c>
      <c r="M88" s="171">
        <f>IFERROR(VLOOKUP(C88,元件库!$B:$O,11,FALSE),"")</f>
        <v>240</v>
      </c>
      <c r="N88" s="172" t="str">
        <f t="shared" ca="1" si="26"/>
        <v/>
      </c>
      <c r="O88" s="157"/>
      <c r="U88" s="162"/>
    </row>
    <row r="89" spans="1:21" s="175" customFormat="1" ht="16.5" customHeight="1" x14ac:dyDescent="0.2">
      <c r="A89" s="38">
        <f>COUNTIF($J$1:J89,"!")</f>
        <v>4</v>
      </c>
      <c r="B89" s="163" t="str">
        <f>IFERROR(VLOOKUP(C89,元件库!$B:$O,3,FALSE),"")</f>
        <v>氧化锌避雷器</v>
      </c>
      <c r="C89" s="164" t="s">
        <v>1917</v>
      </c>
      <c r="D89" s="165" t="str">
        <f>IFERROR(VLOOKUP(C89,元件库!$B:$O,2,FALSE),"")</f>
        <v>雷恩电气</v>
      </c>
      <c r="E89" s="166" t="str">
        <f>IF(D89="欣利铜材","米",IF(B89="氧化锌避雷器","组","只"))</f>
        <v>组</v>
      </c>
      <c r="F89" s="166">
        <v>1</v>
      </c>
      <c r="G89" s="42">
        <f>IFERROR(J89*K89,"")</f>
        <v>200</v>
      </c>
      <c r="H89" s="42">
        <f>IFERROR(G89*F89,"")</f>
        <v>200</v>
      </c>
      <c r="I89" s="167"/>
      <c r="J89" s="168">
        <f>P$1</f>
        <v>1</v>
      </c>
      <c r="K89" s="169">
        <f>IFERROR(M89*L89,"")</f>
        <v>200</v>
      </c>
      <c r="L89" s="170">
        <f>IFERROR(VLOOKUP(C89,元件库!$B:$O,10,FALSE),"1.00")</f>
        <v>1</v>
      </c>
      <c r="M89" s="171">
        <f>IFERROR(VLOOKUP(C89,元件库!$B:$O,11,FALSE),"")</f>
        <v>200</v>
      </c>
      <c r="N89" s="172" t="str">
        <f t="shared" ca="1" si="26"/>
        <v/>
      </c>
      <c r="O89" s="157"/>
      <c r="U89" s="162"/>
    </row>
    <row r="90" spans="1:21" s="175" customFormat="1" ht="16.5" customHeight="1" x14ac:dyDescent="0.2">
      <c r="A90" s="38">
        <f>COUNTIF($J$1:J90,"!")</f>
        <v>4</v>
      </c>
      <c r="B90" s="163" t="str">
        <f>IFERROR(VLOOKUP(C90,元件库!$B:$O,3,FALSE),"")</f>
        <v>静触头</v>
      </c>
      <c r="C90" s="164" t="s">
        <v>169</v>
      </c>
      <c r="D90" s="165" t="str">
        <f>IFERROR(VLOOKUP(C90,元件库!$B:$O,2,FALSE),"")</f>
        <v>福一开</v>
      </c>
      <c r="E90" s="166" t="str">
        <f t="shared" si="27"/>
        <v>只</v>
      </c>
      <c r="F90" s="166">
        <v>6</v>
      </c>
      <c r="G90" s="42">
        <f t="shared" si="28"/>
        <v>42</v>
      </c>
      <c r="H90" s="42">
        <f t="shared" si="29"/>
        <v>252</v>
      </c>
      <c r="I90" s="167"/>
      <c r="J90" s="168">
        <f t="shared" si="30"/>
        <v>1</v>
      </c>
      <c r="K90" s="169">
        <f t="shared" si="31"/>
        <v>42</v>
      </c>
      <c r="L90" s="170">
        <f>IFERROR(VLOOKUP(C90,元件库!$B:$O,10,FALSE),"1.00")</f>
        <v>1</v>
      </c>
      <c r="M90" s="171">
        <f>IFERROR(VLOOKUP(C90,元件库!$B:$O,11,FALSE),"")</f>
        <v>42</v>
      </c>
      <c r="N90" s="172" t="str">
        <f t="shared" ca="1" si="26"/>
        <v/>
      </c>
      <c r="O90" s="157"/>
      <c r="U90" s="162"/>
    </row>
    <row r="91" spans="1:21" s="175" customFormat="1" ht="16.5" customHeight="1" x14ac:dyDescent="0.2">
      <c r="A91" s="38">
        <f>COUNTIF($J$1:J91,"!")</f>
        <v>4</v>
      </c>
      <c r="B91" s="163" t="str">
        <f>IFERROR(VLOOKUP(C91,元件库!$B:$O,3,FALSE),"")</f>
        <v>触头盒</v>
      </c>
      <c r="C91" s="164" t="s">
        <v>3229</v>
      </c>
      <c r="D91" s="165" t="str">
        <f>IFERROR(VLOOKUP(C91,元件库!$B:$O,2,FALSE),"")</f>
        <v>福一开</v>
      </c>
      <c r="E91" s="166" t="str">
        <f t="shared" si="27"/>
        <v>只</v>
      </c>
      <c r="F91" s="166">
        <v>6</v>
      </c>
      <c r="G91" s="42">
        <f t="shared" si="28"/>
        <v>45</v>
      </c>
      <c r="H91" s="42">
        <f t="shared" si="29"/>
        <v>270</v>
      </c>
      <c r="I91" s="167"/>
      <c r="J91" s="168">
        <f t="shared" si="30"/>
        <v>1</v>
      </c>
      <c r="K91" s="169">
        <f t="shared" si="31"/>
        <v>45</v>
      </c>
      <c r="L91" s="170">
        <f>IFERROR(VLOOKUP(C91,元件库!$B:$O,10,FALSE),"1.00")</f>
        <v>1</v>
      </c>
      <c r="M91" s="171">
        <f>IFERROR(VLOOKUP(C91,元件库!$B:$O,11,FALSE),"")</f>
        <v>45</v>
      </c>
      <c r="N91" s="172" t="str">
        <f t="shared" ca="1" si="26"/>
        <v/>
      </c>
      <c r="O91" s="157"/>
      <c r="U91" s="162"/>
    </row>
    <row r="92" spans="1:21" s="175" customFormat="1" ht="16.5" customHeight="1" x14ac:dyDescent="0.2">
      <c r="A92" s="38">
        <f>COUNTIF($J$1:J92,"!")</f>
        <v>4</v>
      </c>
      <c r="B92" s="163" t="str">
        <f>IFERROR(VLOOKUP(C92,元件库!$B:$O,3,FALSE),"")</f>
        <v>穿墙套管</v>
      </c>
      <c r="C92" s="164" t="s">
        <v>135</v>
      </c>
      <c r="D92" s="165" t="str">
        <f>IFERROR(VLOOKUP(C92,元件库!$B:$O,2,FALSE),"")</f>
        <v>福一开</v>
      </c>
      <c r="E92" s="166" t="str">
        <f t="shared" si="27"/>
        <v>只</v>
      </c>
      <c r="F92" s="166">
        <v>3</v>
      </c>
      <c r="G92" s="42">
        <f t="shared" si="28"/>
        <v>45</v>
      </c>
      <c r="H92" s="42">
        <f t="shared" si="29"/>
        <v>135</v>
      </c>
      <c r="I92" s="167"/>
      <c r="J92" s="168">
        <f t="shared" si="30"/>
        <v>1</v>
      </c>
      <c r="K92" s="169">
        <f t="shared" si="31"/>
        <v>45</v>
      </c>
      <c r="L92" s="170">
        <f>IFERROR(VLOOKUP(C92,元件库!$B:$O,10,FALSE),"1.00")</f>
        <v>1</v>
      </c>
      <c r="M92" s="171">
        <f>IFERROR(VLOOKUP(C92,元件库!$B:$O,11,FALSE),"")</f>
        <v>45</v>
      </c>
      <c r="N92" s="172" t="str">
        <f t="shared" ca="1" si="26"/>
        <v/>
      </c>
      <c r="O92" s="157"/>
      <c r="U92" s="162"/>
    </row>
    <row r="93" spans="1:21" s="175" customFormat="1" ht="16.5" customHeight="1" x14ac:dyDescent="0.2">
      <c r="A93" s="38">
        <f>COUNTIF($J$1:J93,"!")</f>
        <v>4</v>
      </c>
      <c r="B93" s="163" t="str">
        <f>IFERROR(VLOOKUP(C93,元件库!$B:$O,3,FALSE),"")</f>
        <v>支柱绝缘子</v>
      </c>
      <c r="C93" s="164" t="s">
        <v>136</v>
      </c>
      <c r="D93" s="165" t="str">
        <f>IFERROR(VLOOKUP(C93,元件库!$B:$O,2,FALSE),"")</f>
        <v>福一开</v>
      </c>
      <c r="E93" s="166" t="str">
        <f t="shared" si="27"/>
        <v>只</v>
      </c>
      <c r="F93" s="166">
        <v>3</v>
      </c>
      <c r="G93" s="42">
        <f t="shared" si="28"/>
        <v>22</v>
      </c>
      <c r="H93" s="42">
        <f t="shared" si="29"/>
        <v>66</v>
      </c>
      <c r="I93" s="167"/>
      <c r="J93" s="168">
        <f t="shared" si="30"/>
        <v>1</v>
      </c>
      <c r="K93" s="169">
        <f t="shared" si="31"/>
        <v>22</v>
      </c>
      <c r="L93" s="170">
        <f>IFERROR(VLOOKUP(C93,元件库!$B:$O,10,FALSE),"1.00")</f>
        <v>1</v>
      </c>
      <c r="M93" s="171">
        <f>IFERROR(VLOOKUP(C93,元件库!$B:$O,11,FALSE),"")</f>
        <v>22</v>
      </c>
      <c r="N93" s="172" t="str">
        <f t="shared" ca="1" si="26"/>
        <v/>
      </c>
      <c r="O93" s="157"/>
      <c r="U93" s="162"/>
    </row>
    <row r="94" spans="1:21" s="175" customFormat="1" ht="16.5" customHeight="1" x14ac:dyDescent="0.2">
      <c r="A94" s="38">
        <f>COUNTIF($J$1:J94,"!")</f>
        <v>4</v>
      </c>
      <c r="B94" s="163" t="str">
        <f>IFERROR(VLOOKUP(C94,元件库!$B:$O,3,FALSE),"")</f>
        <v>电压传感器</v>
      </c>
      <c r="C94" s="164" t="s">
        <v>137</v>
      </c>
      <c r="D94" s="165" t="str">
        <f>IFERROR(VLOOKUP(C94,元件库!$B:$O,2,FALSE),"")</f>
        <v>福一开</v>
      </c>
      <c r="E94" s="166" t="str">
        <f t="shared" si="27"/>
        <v>只</v>
      </c>
      <c r="F94" s="166">
        <v>1</v>
      </c>
      <c r="G94" s="42">
        <f t="shared" si="28"/>
        <v>93</v>
      </c>
      <c r="H94" s="42">
        <f t="shared" si="29"/>
        <v>93</v>
      </c>
      <c r="I94" s="167"/>
      <c r="J94" s="168">
        <f t="shared" si="30"/>
        <v>1</v>
      </c>
      <c r="K94" s="169">
        <f t="shared" si="31"/>
        <v>93</v>
      </c>
      <c r="L94" s="170">
        <f>IFERROR(VLOOKUP(C94,元件库!$B:$O,10,FALSE),"1.00")</f>
        <v>1</v>
      </c>
      <c r="M94" s="171">
        <f>IFERROR(VLOOKUP(C94,元件库!$B:$O,11,FALSE),"")</f>
        <v>93</v>
      </c>
      <c r="N94" s="172" t="str">
        <f t="shared" ca="1" si="26"/>
        <v/>
      </c>
      <c r="O94" s="157"/>
      <c r="U94" s="162"/>
    </row>
    <row r="95" spans="1:21" s="175" customFormat="1" ht="16.5" customHeight="1" x14ac:dyDescent="0.2">
      <c r="A95" s="38">
        <f>COUNTIF($J$1:J95,"!")</f>
        <v>4</v>
      </c>
      <c r="B95" s="163" t="str">
        <f>IFERROR(VLOOKUP(C95,元件库!$B:$O,3,FALSE),"")</f>
        <v>带电显示器</v>
      </c>
      <c r="C95" s="164" t="s">
        <v>1897</v>
      </c>
      <c r="D95" s="165" t="str">
        <f>IFERROR(VLOOKUP(C95,元件库!$B:$O,2,FALSE),"")</f>
        <v>江山鑫源</v>
      </c>
      <c r="E95" s="166" t="str">
        <f t="shared" si="27"/>
        <v>只</v>
      </c>
      <c r="F95" s="166">
        <v>1</v>
      </c>
      <c r="G95" s="42">
        <f>IFERROR(J95*K95,"")</f>
        <v>33</v>
      </c>
      <c r="H95" s="42">
        <f>IFERROR(G95*F95,"")</f>
        <v>33</v>
      </c>
      <c r="I95" s="167"/>
      <c r="J95" s="168">
        <f>P$1</f>
        <v>1</v>
      </c>
      <c r="K95" s="169">
        <f>IFERROR(M95*L95,"")</f>
        <v>33</v>
      </c>
      <c r="L95" s="170">
        <f>IFERROR(VLOOKUP(C95,元件库!$B:$O,10,FALSE),"1.00")</f>
        <v>1</v>
      </c>
      <c r="M95" s="171">
        <f>IFERROR(VLOOKUP(C95,元件库!$B:$O,11,FALSE),"")</f>
        <v>33</v>
      </c>
      <c r="N95" s="172" t="str">
        <f t="shared" ca="1" si="26"/>
        <v/>
      </c>
      <c r="O95" s="157"/>
      <c r="U95" s="162"/>
    </row>
    <row r="96" spans="1:21" s="175" customFormat="1" ht="16.5" customHeight="1" x14ac:dyDescent="0.2">
      <c r="A96" s="38">
        <f>COUNTIF($J$1:J96,"!")</f>
        <v>4</v>
      </c>
      <c r="B96" s="163" t="str">
        <f>IFERROR(VLOOKUP(C96,元件库!$B:$O,3,FALSE),"")</f>
        <v>电磁锁</v>
      </c>
      <c r="C96" s="164" t="s">
        <v>98</v>
      </c>
      <c r="D96" s="165" t="str">
        <f>IFERROR(VLOOKUP(C96,元件库!$B:$O,2,FALSE),"")</f>
        <v>哈陆拉</v>
      </c>
      <c r="E96" s="166" t="str">
        <f t="shared" si="27"/>
        <v>只</v>
      </c>
      <c r="F96" s="166">
        <v>1</v>
      </c>
      <c r="G96" s="42">
        <f>IFERROR(J96*K96,"")</f>
        <v>55</v>
      </c>
      <c r="H96" s="42">
        <f>IFERROR(G96*F96,"")</f>
        <v>55</v>
      </c>
      <c r="I96" s="167"/>
      <c r="J96" s="168">
        <f t="shared" ref="J96:J102" si="32">P$1</f>
        <v>1</v>
      </c>
      <c r="K96" s="169">
        <f>IFERROR(M96*L96,"")</f>
        <v>55</v>
      </c>
      <c r="L96" s="170">
        <f>IFERROR(VLOOKUP(C96,元件库!$B:$O,10,FALSE),"1.00")</f>
        <v>1</v>
      </c>
      <c r="M96" s="171">
        <f>IFERROR(VLOOKUP(C96,元件库!$B:$O,11,FALSE),"")</f>
        <v>55</v>
      </c>
      <c r="N96" s="172" t="str">
        <f t="shared" ca="1" si="26"/>
        <v/>
      </c>
      <c r="O96" s="157"/>
      <c r="U96" s="162"/>
    </row>
    <row r="97" spans="1:21" s="175" customFormat="1" ht="16.5" customHeight="1" x14ac:dyDescent="0.2">
      <c r="A97" s="38">
        <f>COUNTIF($J$1:J97,"!")</f>
        <v>4</v>
      </c>
      <c r="B97" s="163" t="str">
        <f>IFERROR(VLOOKUP(C97,元件库!$B:$O,3,FALSE),"")</f>
        <v>温湿度控制器</v>
      </c>
      <c r="C97" s="164" t="s">
        <v>3292</v>
      </c>
      <c r="D97" s="165" t="str">
        <f>IFERROR(VLOOKUP(C97,元件库!$B:$O,2,FALSE),"")</f>
        <v>实德电气</v>
      </c>
      <c r="E97" s="166" t="str">
        <f t="shared" si="27"/>
        <v>只</v>
      </c>
      <c r="F97" s="166">
        <v>1</v>
      </c>
      <c r="G97" s="42">
        <f t="shared" ref="G97:G102" si="33">IFERROR(J97*K97,"")</f>
        <v>80</v>
      </c>
      <c r="H97" s="42">
        <f t="shared" ref="H97:H102" si="34">IFERROR(G97*F97,"")</f>
        <v>80</v>
      </c>
      <c r="I97" s="167"/>
      <c r="J97" s="168">
        <f t="shared" si="32"/>
        <v>1</v>
      </c>
      <c r="K97" s="169">
        <f t="shared" ref="K97:K102" si="35">IFERROR(M97*L97,"")</f>
        <v>80</v>
      </c>
      <c r="L97" s="170">
        <f>IFERROR(VLOOKUP(C97,元件库!$B:$O,10,FALSE),"1.00")</f>
        <v>1</v>
      </c>
      <c r="M97" s="171">
        <f>IFERROR(VLOOKUP(C97,元件库!$B:$O,11,FALSE),"")</f>
        <v>80</v>
      </c>
      <c r="N97" s="172" t="str">
        <f t="shared" ca="1" si="26"/>
        <v/>
      </c>
      <c r="O97" s="157"/>
    </row>
    <row r="98" spans="1:21" s="175" customFormat="1" ht="16.5" customHeight="1" x14ac:dyDescent="0.2">
      <c r="A98" s="38">
        <f>COUNTIF($J$1:J98,"!")</f>
        <v>4</v>
      </c>
      <c r="B98" s="163" t="str">
        <f>IFERROR(VLOOKUP(C98,元件库!$B:$O,3,FALSE),"")</f>
        <v>加热器</v>
      </c>
      <c r="C98" s="164" t="s">
        <v>101</v>
      </c>
      <c r="D98" s="165" t="str">
        <f>IFERROR(VLOOKUP(C98,元件库!$B:$O,2,FALSE),"")</f>
        <v>实德电气</v>
      </c>
      <c r="E98" s="166" t="str">
        <f t="shared" si="27"/>
        <v>只</v>
      </c>
      <c r="F98" s="166">
        <v>2</v>
      </c>
      <c r="G98" s="42">
        <f t="shared" si="33"/>
        <v>18</v>
      </c>
      <c r="H98" s="42">
        <f t="shared" si="34"/>
        <v>36</v>
      </c>
      <c r="I98" s="167"/>
      <c r="J98" s="168">
        <f t="shared" si="32"/>
        <v>1</v>
      </c>
      <c r="K98" s="169">
        <f t="shared" si="35"/>
        <v>18</v>
      </c>
      <c r="L98" s="170">
        <f>IFERROR(VLOOKUP(C98,元件库!$B:$O,10,FALSE),"1.00")</f>
        <v>1</v>
      </c>
      <c r="M98" s="171">
        <f>IFERROR(VLOOKUP(C98,元件库!$B:$O,11,FALSE),"")</f>
        <v>18</v>
      </c>
      <c r="N98" s="172" t="str">
        <f t="shared" ca="1" si="26"/>
        <v/>
      </c>
      <c r="O98" s="157"/>
    </row>
    <row r="99" spans="1:21" s="175" customFormat="1" ht="16.5" customHeight="1" x14ac:dyDescent="0.2">
      <c r="A99" s="38">
        <f>COUNTIF($J$1:J99,"!")</f>
        <v>4</v>
      </c>
      <c r="B99" s="163" t="str">
        <f>IFERROR(VLOOKUP(C99,元件库!$B:$O,3,FALSE),"")</f>
        <v>高压热缩管</v>
      </c>
      <c r="C99" s="185" t="str">
        <f>"10KV"&amp;MID(C101,4,10)</f>
        <v>10KV-80*8</v>
      </c>
      <c r="D99" s="165" t="str">
        <f>IFERROR(VLOOKUP(C99,元件库!$B:$O,2,FALSE),"")</f>
        <v>精益联合集团</v>
      </c>
      <c r="E99" s="166" t="str">
        <f t="shared" si="27"/>
        <v>只</v>
      </c>
      <c r="F99" s="166">
        <f>ROUND(SUM(F100:F102),0)</f>
        <v>9</v>
      </c>
      <c r="G99" s="42">
        <f t="shared" si="33"/>
        <v>17</v>
      </c>
      <c r="H99" s="42">
        <f t="shared" si="34"/>
        <v>153</v>
      </c>
      <c r="I99" s="167"/>
      <c r="J99" s="168">
        <f t="shared" si="32"/>
        <v>1</v>
      </c>
      <c r="K99" s="169">
        <f t="shared" si="35"/>
        <v>17</v>
      </c>
      <c r="L99" s="170">
        <f>IFERROR(VLOOKUP(C99,元件库!$B:$O,10,FALSE),"1.00")</f>
        <v>1</v>
      </c>
      <c r="M99" s="171">
        <f>IFERROR(VLOOKUP(C99,元件库!$B:$O,11,FALSE),"")</f>
        <v>17</v>
      </c>
      <c r="N99" s="172" t="str">
        <f t="shared" ca="1" si="26"/>
        <v/>
      </c>
      <c r="O99" s="157"/>
    </row>
    <row r="100" spans="1:21" s="175" customFormat="1" ht="16.5" customHeight="1" x14ac:dyDescent="0.2">
      <c r="A100" s="38">
        <f>COUNTIF($J$1:J100,"!")</f>
        <v>4</v>
      </c>
      <c r="B100" s="163" t="str">
        <f>IFERROR(VLOOKUP(C100,元件库!$B:$O,3,FALSE),"")</f>
        <v>铜排</v>
      </c>
      <c r="C100" s="185" t="s">
        <v>46</v>
      </c>
      <c r="D100" s="165" t="str">
        <f>IFERROR(VLOOKUP(C100,元件库!$B:$O,2,FALSE),"")</f>
        <v>欣利铜材</v>
      </c>
      <c r="E100" s="166" t="str">
        <f t="shared" si="27"/>
        <v>米</v>
      </c>
      <c r="F100" s="166">
        <v>6</v>
      </c>
      <c r="G100" s="42">
        <f t="shared" si="33"/>
        <v>324.67199999999997</v>
      </c>
      <c r="H100" s="42">
        <f t="shared" si="34"/>
        <v>1948.0319999999997</v>
      </c>
      <c r="I100" s="167"/>
      <c r="J100" s="168">
        <f t="shared" si="32"/>
        <v>1</v>
      </c>
      <c r="K100" s="169">
        <f t="shared" si="35"/>
        <v>324.67199999999997</v>
      </c>
      <c r="L100" s="170">
        <f>IFERROR(VLOOKUP(C100,元件库!$B:$O,10,FALSE),"1.00")</f>
        <v>1</v>
      </c>
      <c r="M100" s="171">
        <f>IFERROR(VLOOKUP(C100,元件库!$B:$O,11,FALSE),"")</f>
        <v>324.67199999999997</v>
      </c>
      <c r="N100" s="172" t="str">
        <f t="shared" ca="1" si="26"/>
        <v/>
      </c>
      <c r="O100" s="174" t="str">
        <f>O102</f>
        <v>KYN28A-800*1500*2300</v>
      </c>
    </row>
    <row r="101" spans="1:21" s="175" customFormat="1" ht="16.5" customHeight="1" x14ac:dyDescent="0.2">
      <c r="A101" s="38">
        <f>COUNTIF($J$1:J101,"!")</f>
        <v>4</v>
      </c>
      <c r="B101" s="163" t="s">
        <v>2171</v>
      </c>
      <c r="C101" s="185" t="s">
        <v>2225</v>
      </c>
      <c r="D101" s="165" t="str">
        <f>IFERROR(VLOOKUP(C101,元件库!$B:$O,2,FALSE),"")</f>
        <v>欣利铜材</v>
      </c>
      <c r="E101" s="166" t="str">
        <f t="shared" si="27"/>
        <v>米</v>
      </c>
      <c r="F101" s="166">
        <f>1*MID(O101,FIND("-",O101)+1,FIND("*",O101)-FIND("-",O101)-1)/1000*IF(B101="水平排",3,1)+IF(AND(B101="零母排",VLOOKUP(A101,A$1:B98,2,FALSE)="低压进线柜"),1.5,0)</f>
        <v>2.4000000000000004</v>
      </c>
      <c r="G101" s="42">
        <f t="shared" si="33"/>
        <v>324.67199999999997</v>
      </c>
      <c r="H101" s="42">
        <f t="shared" si="34"/>
        <v>779.21280000000002</v>
      </c>
      <c r="I101" s="167"/>
      <c r="J101" s="168">
        <f t="shared" si="32"/>
        <v>1</v>
      </c>
      <c r="K101" s="169">
        <f t="shared" si="35"/>
        <v>324.67199999999997</v>
      </c>
      <c r="L101" s="170">
        <f>IFERROR(VLOOKUP(C101,元件库!$B:$O,10,FALSE),"1.00")</f>
        <v>1</v>
      </c>
      <c r="M101" s="171">
        <f>IFERROR(VLOOKUP(C101,元件库!$B:$O,11,FALSE),"")</f>
        <v>324.67199999999997</v>
      </c>
      <c r="N101" s="172" t="str">
        <f t="shared" ca="1" si="26"/>
        <v/>
      </c>
      <c r="O101" s="174" t="str">
        <f>O104</f>
        <v>KYN28A-800*1500*2300</v>
      </c>
    </row>
    <row r="102" spans="1:21" s="175" customFormat="1" ht="16.5" customHeight="1" x14ac:dyDescent="0.2">
      <c r="A102" s="38">
        <f>COUNTIF($J$1:J102,"!")</f>
        <v>4</v>
      </c>
      <c r="B102" s="163" t="s">
        <v>2172</v>
      </c>
      <c r="C102" s="185" t="s">
        <v>2673</v>
      </c>
      <c r="D102" s="165" t="str">
        <f>IFERROR(VLOOKUP(C102,元件库!$B:$O,2,FALSE),"")</f>
        <v>欣利铜材</v>
      </c>
      <c r="E102" s="166" t="str">
        <f t="shared" si="27"/>
        <v>米</v>
      </c>
      <c r="F102" s="166">
        <f>1*MID(O102,FIND("-",O102)+1,FIND("*",O102)-FIND("-",O102)-1)/1000*IF(B102="水平排",3,1)+IF(AND(B102="零母排",VLOOKUP(A102,A$1:B99,2,FALSE)="低压进线柜"),1.5,0)</f>
        <v>0.8</v>
      </c>
      <c r="G102" s="42">
        <f t="shared" si="33"/>
        <v>126.82499999999999</v>
      </c>
      <c r="H102" s="42">
        <f t="shared" si="34"/>
        <v>101.46</v>
      </c>
      <c r="I102" s="167"/>
      <c r="J102" s="168">
        <f t="shared" si="32"/>
        <v>1</v>
      </c>
      <c r="K102" s="169">
        <f t="shared" si="35"/>
        <v>126.82499999999999</v>
      </c>
      <c r="L102" s="170">
        <f>IFERROR(VLOOKUP(C102,元件库!$B:$O,10,FALSE),"1.00")</f>
        <v>1</v>
      </c>
      <c r="M102" s="171">
        <f>IFERROR(VLOOKUP(C102,元件库!$B:$O,11,FALSE),"")</f>
        <v>126.82499999999999</v>
      </c>
      <c r="N102" s="172" t="str">
        <f t="shared" ca="1" si="26"/>
        <v/>
      </c>
      <c r="O102" s="174" t="str">
        <f>O105</f>
        <v>KYN28A-800*1500*2300</v>
      </c>
    </row>
    <row r="103" spans="1:21" s="162" customFormat="1" ht="16.5" customHeight="1" x14ac:dyDescent="0.2">
      <c r="A103" s="38">
        <f>COUNTIF($J$1:J103,"!")</f>
        <v>4</v>
      </c>
      <c r="B103" s="177" t="s">
        <v>107</v>
      </c>
      <c r="C103" s="164"/>
      <c r="D103" s="166"/>
      <c r="E103" s="166"/>
      <c r="F103" s="166"/>
      <c r="G103" s="42"/>
      <c r="H103" s="42"/>
      <c r="I103" s="178">
        <f>SUM(H81:H103)</f>
        <v>17812.9548</v>
      </c>
      <c r="J103" s="168"/>
      <c r="K103" s="169"/>
      <c r="L103" s="170"/>
      <c r="M103" s="171"/>
      <c r="O103" s="161"/>
      <c r="P103" s="157"/>
    </row>
    <row r="104" spans="1:21" ht="16.5" customHeight="1" x14ac:dyDescent="0.2">
      <c r="A104" s="38">
        <f>COUNTIF($J$1:J104,"!")</f>
        <v>4</v>
      </c>
      <c r="B104" s="179" t="s">
        <v>47</v>
      </c>
      <c r="C104" s="164"/>
      <c r="D104" s="166"/>
      <c r="E104" s="166"/>
      <c r="F104" s="166"/>
      <c r="G104" s="42"/>
      <c r="H104" s="42">
        <f>IFERROR(J104*M104*L104,"")</f>
        <v>900</v>
      </c>
      <c r="I104" s="167"/>
      <c r="J104" s="168">
        <f>P$1</f>
        <v>1</v>
      </c>
      <c r="K104" s="169">
        <f>IFERROR(M104*L104,"")</f>
        <v>900</v>
      </c>
      <c r="L104" s="170" t="str">
        <f>IFERROR(VLOOKUP(C104,元件库!$B:$O,10,FALSE),"1.00")</f>
        <v>1.00</v>
      </c>
      <c r="M104" s="171">
        <f>IF(ISNUMBER(FIND("提升",VLOOKUP(A104,A$1:B103,2,FALSE))),IF(B104="成套费",400,200),IF(OR(ISNUMBER(FIND("XGN",O104)),ISNUMBER(FIND("HXGN",O104))),IF(B104="成套费",800,600),IF(ISNUMBER(FIND("KYN28",O104)),IF(B104="成套费",900,700),"")))</f>
        <v>900</v>
      </c>
      <c r="O104" s="180" t="str">
        <f>C81</f>
        <v>KYN28A-800*1500*2300</v>
      </c>
    </row>
    <row r="105" spans="1:21" s="161" customFormat="1" ht="16.5" customHeight="1" x14ac:dyDescent="0.2">
      <c r="A105" s="38">
        <f>COUNTIF($J$1:J105,"!")</f>
        <v>4</v>
      </c>
      <c r="B105" s="179" t="s">
        <v>49</v>
      </c>
      <c r="C105" s="164"/>
      <c r="D105" s="166"/>
      <c r="E105" s="166"/>
      <c r="F105" s="166"/>
      <c r="G105" s="42"/>
      <c r="H105" s="42">
        <f>IFERROR(J105*M105*L105,"")</f>
        <v>700</v>
      </c>
      <c r="I105" s="167"/>
      <c r="J105" s="168">
        <f>P$1</f>
        <v>1</v>
      </c>
      <c r="K105" s="169">
        <f>IFERROR(M105*L105,"")</f>
        <v>700</v>
      </c>
      <c r="L105" s="170" t="str">
        <f>IFERROR(VLOOKUP(C105,元件库!$B:$O,10,FALSE),"1.00")</f>
        <v>1.00</v>
      </c>
      <c r="M105" s="171">
        <f>IF(ISNUMBER(FIND("提升",VLOOKUP(A105,A$1:B104,2,FALSE))),IF(B105="成套费",400,200),IF(OR(ISNUMBER(FIND("XGN",O105)),ISNUMBER(FIND("HXGN",O105))),IF(B105="成套费",800,600),IF(ISNUMBER(FIND("KYN28",O105)),IF(B105="成套费",900,700),"")))</f>
        <v>700</v>
      </c>
      <c r="O105" s="174" t="str">
        <f>O104</f>
        <v>KYN28A-800*1500*2300</v>
      </c>
      <c r="P105" s="162"/>
      <c r="Q105" s="162"/>
    </row>
    <row r="106" spans="1:21" s="161" customFormat="1" ht="16.5" customHeight="1" x14ac:dyDescent="0.2">
      <c r="A106" s="38">
        <f>COUNTIF($J$1:J106,"!")</f>
        <v>4</v>
      </c>
      <c r="B106" s="179" t="s">
        <v>79</v>
      </c>
      <c r="C106" s="164"/>
      <c r="D106" s="166"/>
      <c r="E106" s="166"/>
      <c r="F106" s="166"/>
      <c r="G106" s="42"/>
      <c r="H106" s="42">
        <f>K106*L106</f>
        <v>2329.554576</v>
      </c>
      <c r="I106" s="167"/>
      <c r="J106" s="168"/>
      <c r="K106" s="169">
        <f>SUM(H104:H105)+I103</f>
        <v>19412.9548</v>
      </c>
      <c r="L106" s="279">
        <f>R$1</f>
        <v>0.12</v>
      </c>
      <c r="M106" s="171"/>
      <c r="O106" s="181"/>
      <c r="P106" s="162"/>
      <c r="Q106" s="162"/>
    </row>
    <row r="107" spans="1:21" ht="16.5" customHeight="1" x14ac:dyDescent="0.2">
      <c r="A107" s="38">
        <f>COUNTIF($J$1:J107,"!")</f>
        <v>4</v>
      </c>
      <c r="B107" s="179" t="s">
        <v>108</v>
      </c>
      <c r="C107" s="164"/>
      <c r="D107" s="166"/>
      <c r="E107" s="166"/>
      <c r="F107" s="166"/>
      <c r="G107" s="184"/>
      <c r="H107" s="42">
        <f>K107*L107</f>
        <v>1304.5505625599999</v>
      </c>
      <c r="I107" s="167"/>
      <c r="J107" s="168"/>
      <c r="K107" s="169">
        <f>H106+K106</f>
        <v>21742.509375999998</v>
      </c>
      <c r="L107" s="279">
        <f>T$1</f>
        <v>0.06</v>
      </c>
      <c r="M107" s="171"/>
    </row>
    <row r="108" spans="1:21" s="162" customFormat="1" ht="16.5" customHeight="1" x14ac:dyDescent="0.15">
      <c r="A108" s="32">
        <f>COUNTIF($J$1:J108,"!")</f>
        <v>5</v>
      </c>
      <c r="B108" s="33" t="s">
        <v>4064</v>
      </c>
      <c r="C108" s="277" t="s">
        <v>4065</v>
      </c>
      <c r="D108" s="159"/>
      <c r="E108" s="34" t="s">
        <v>23</v>
      </c>
      <c r="F108" s="159">
        <v>1</v>
      </c>
      <c r="G108" s="36">
        <f>ROUND(SUM(H109:H131),0)</f>
        <v>23690</v>
      </c>
      <c r="H108" s="160" t="str">
        <f>IF(ISNUMBER(FIND(" ",C109)),MID(C109,1,FIND(" ",C109)-1),IF(ISNUMBER(FIND("电容柜",B108)),"GGJ",MID(C109,1,FIND("-",C109)-1)))</f>
        <v>KYN28A</v>
      </c>
      <c r="I108" s="47" t="str">
        <f>MID(C109,IF(LEN(C109)-LEN(H108)&gt;3,LEN(H108)+2,1),30)</f>
        <v>800*1500*2300</v>
      </c>
      <c r="J108" s="48" t="s">
        <v>24</v>
      </c>
      <c r="K108" s="49"/>
      <c r="L108" s="50"/>
      <c r="M108" s="51"/>
      <c r="N108" s="172"/>
      <c r="O108" s="161"/>
    </row>
    <row r="109" spans="1:21" s="175" customFormat="1" ht="16.5" customHeight="1" x14ac:dyDescent="0.2">
      <c r="A109" s="38">
        <f>COUNTIF($J$1:J109,"!")</f>
        <v>5</v>
      </c>
      <c r="B109" s="163" t="str">
        <f>IFERROR(VLOOKUP(C109,元件库!$B:$O,3,FALSE),"")</f>
        <v>壳体W*D*H</v>
      </c>
      <c r="C109" s="164" t="s">
        <v>4057</v>
      </c>
      <c r="D109" s="165" t="str">
        <f>IFERROR(VLOOKUP(C109,元件库!$B:$O,2,FALSE),"")</f>
        <v>精益联合集团</v>
      </c>
      <c r="E109" s="166" t="str">
        <f t="shared" ref="E109:E126" si="36">IF(D109="欣利铜材","米",IF(B109="氧化锌避雷器","组","只"))</f>
        <v>只</v>
      </c>
      <c r="F109" s="166">
        <v>1</v>
      </c>
      <c r="G109" s="42">
        <f t="shared" ref="G109:G126" si="37">IFERROR(J109*K109,"")</f>
        <v>4560</v>
      </c>
      <c r="H109" s="42">
        <f t="shared" ref="H109:H126" si="38">IFERROR(G109*F109,"")</f>
        <v>4560</v>
      </c>
      <c r="I109" s="167"/>
      <c r="J109" s="168">
        <f t="shared" ref="J109:J126" si="39">P$1</f>
        <v>1</v>
      </c>
      <c r="K109" s="169">
        <f t="shared" ref="K109:K126" si="40">IFERROR(M109*L109,"")</f>
        <v>4560</v>
      </c>
      <c r="L109" s="170">
        <v>0.95</v>
      </c>
      <c r="M109" s="171">
        <f>IFERROR(VLOOKUP(C109,元件库!$B:$O,11,FALSE),"")</f>
        <v>4800</v>
      </c>
      <c r="N109" s="172" t="str">
        <f t="shared" ref="N109:N126" ca="1" si="41">IF(AND(ISNUMBER(FIND("IF",_xlfn.FORMULATEXT(L109))),ISNUMBER(FIND("IF",_xlfn.FORMULATEXT(M109)))),"","值")</f>
        <v>值</v>
      </c>
      <c r="O109" s="157"/>
      <c r="U109" s="162"/>
    </row>
    <row r="110" spans="1:21" s="175" customFormat="1" ht="16.5" customHeight="1" x14ac:dyDescent="0.2">
      <c r="A110" s="38">
        <f>COUNTIF($J$1:J110,"!")</f>
        <v>5</v>
      </c>
      <c r="B110" s="163" t="str">
        <f>IFERROR(VLOOKUP(C110,元件库!$B:$O,3,FALSE),"")</f>
        <v>真空断路器</v>
      </c>
      <c r="C110" s="164" t="s">
        <v>3944</v>
      </c>
      <c r="D110" s="165" t="s">
        <v>4058</v>
      </c>
      <c r="E110" s="166" t="str">
        <f t="shared" si="36"/>
        <v>只</v>
      </c>
      <c r="F110" s="166">
        <v>1</v>
      </c>
      <c r="G110" s="42">
        <f t="shared" si="37"/>
        <v>5600</v>
      </c>
      <c r="H110" s="42">
        <f t="shared" si="38"/>
        <v>5600</v>
      </c>
      <c r="I110" s="167"/>
      <c r="J110" s="168">
        <f t="shared" si="39"/>
        <v>1</v>
      </c>
      <c r="K110" s="169">
        <f t="shared" si="40"/>
        <v>5600</v>
      </c>
      <c r="L110" s="170">
        <f>IFERROR(VLOOKUP(C110,元件库!$B:$O,10,FALSE),"1.00")</f>
        <v>1</v>
      </c>
      <c r="M110" s="171">
        <f>IFERROR(VLOOKUP(C110,元件库!$B:$O,11,FALSE),"")</f>
        <v>5600</v>
      </c>
      <c r="N110" s="172" t="str">
        <f t="shared" ca="1" si="41"/>
        <v/>
      </c>
      <c r="O110" s="157"/>
      <c r="U110" s="162"/>
    </row>
    <row r="111" spans="1:21" s="175" customFormat="1" ht="16.5" customHeight="1" x14ac:dyDescent="0.2">
      <c r="A111" s="38">
        <f>COUNTIF($J$1:J111,"!")</f>
        <v>5</v>
      </c>
      <c r="B111" s="163" t="str">
        <f>IFERROR(VLOOKUP(C111,元件库!$B:$O,3,FALSE),"")</f>
        <v>微机保护装置</v>
      </c>
      <c r="C111" s="164" t="s">
        <v>3964</v>
      </c>
      <c r="D111" s="165" t="str">
        <f>IFERROR(VLOOKUP(C111,元件库!$B:$O,2,FALSE),"")</f>
        <v>上海知棋</v>
      </c>
      <c r="E111" s="166" t="str">
        <f t="shared" si="36"/>
        <v>只</v>
      </c>
      <c r="F111" s="166">
        <v>1</v>
      </c>
      <c r="G111" s="42">
        <f t="shared" si="37"/>
        <v>1500</v>
      </c>
      <c r="H111" s="42">
        <f t="shared" si="38"/>
        <v>1500</v>
      </c>
      <c r="I111" s="167"/>
      <c r="J111" s="168">
        <f t="shared" si="39"/>
        <v>1</v>
      </c>
      <c r="K111" s="169">
        <f t="shared" si="40"/>
        <v>1500</v>
      </c>
      <c r="L111" s="170">
        <f>IFERROR(VLOOKUP(C111,元件库!$B:$O,10,FALSE),"1.00")</f>
        <v>1</v>
      </c>
      <c r="M111" s="171">
        <f>IFERROR(VLOOKUP(C111,元件库!$B:$O,11,FALSE),"")</f>
        <v>1500</v>
      </c>
      <c r="N111" s="172" t="str">
        <f t="shared" ca="1" si="41"/>
        <v/>
      </c>
      <c r="O111" s="157"/>
      <c r="U111" s="162"/>
    </row>
    <row r="112" spans="1:21" s="175" customFormat="1" ht="16.5" customHeight="1" x14ac:dyDescent="0.2">
      <c r="A112" s="38">
        <f>COUNTIF($J$1:J112,"!")</f>
        <v>5</v>
      </c>
      <c r="B112" s="163" t="str">
        <f>IFERROR(VLOOKUP(C112,元件库!$B:$O,3,FALSE),"")</f>
        <v>电流互感器</v>
      </c>
      <c r="C112" s="164" t="s">
        <v>4062</v>
      </c>
      <c r="D112" s="165" t="s">
        <v>4059</v>
      </c>
      <c r="E112" s="166" t="str">
        <f t="shared" si="36"/>
        <v>只</v>
      </c>
      <c r="F112" s="166">
        <v>3</v>
      </c>
      <c r="G112" s="42">
        <f t="shared" si="37"/>
        <v>560</v>
      </c>
      <c r="H112" s="42">
        <f t="shared" si="38"/>
        <v>1680</v>
      </c>
      <c r="I112" s="167"/>
      <c r="J112" s="168">
        <f t="shared" si="39"/>
        <v>1</v>
      </c>
      <c r="K112" s="169">
        <f t="shared" si="40"/>
        <v>560</v>
      </c>
      <c r="L112" s="170">
        <f>IFERROR(VLOOKUP(C112,元件库!$B:$O,10,FALSE),"1.00")</f>
        <v>1</v>
      </c>
      <c r="M112" s="171">
        <f>IFERROR(VLOOKUP(C112,元件库!$B:$O,11,FALSE),"")</f>
        <v>560</v>
      </c>
      <c r="N112" s="172" t="str">
        <f t="shared" ca="1" si="41"/>
        <v/>
      </c>
      <c r="O112" s="157"/>
    </row>
    <row r="113" spans="1:21" s="175" customFormat="1" ht="16.5" customHeight="1" x14ac:dyDescent="0.2">
      <c r="A113" s="38">
        <f>COUNTIF($J$1:J113,"!")</f>
        <v>5</v>
      </c>
      <c r="B113" s="163" t="str">
        <f>IFERROR(VLOOKUP(C113,元件库!$B:$O,3,FALSE),"")</f>
        <v>电流.电压表</v>
      </c>
      <c r="C113" s="164" t="s">
        <v>3291</v>
      </c>
      <c r="D113" s="165" t="str">
        <f>IFERROR(VLOOKUP(C113,元件库!$B:$O,2,FALSE),"")</f>
        <v>精益联合集团</v>
      </c>
      <c r="E113" s="166" t="str">
        <f t="shared" si="36"/>
        <v>只</v>
      </c>
      <c r="F113" s="166">
        <v>3</v>
      </c>
      <c r="G113" s="42">
        <f t="shared" si="37"/>
        <v>13.750000000000002</v>
      </c>
      <c r="H113" s="42">
        <f t="shared" si="38"/>
        <v>41.250000000000007</v>
      </c>
      <c r="I113" s="167"/>
      <c r="J113" s="168">
        <f t="shared" si="39"/>
        <v>1</v>
      </c>
      <c r="K113" s="169">
        <f t="shared" si="40"/>
        <v>13.750000000000002</v>
      </c>
      <c r="L113" s="170">
        <f>IFERROR(VLOOKUP(C113,元件库!$B:$O,10,FALSE),"1.00")</f>
        <v>0.55000000000000004</v>
      </c>
      <c r="M113" s="171">
        <f>IFERROR(VLOOKUP(C113,元件库!$B:$O,11,FALSE),"")</f>
        <v>25</v>
      </c>
      <c r="N113" s="172" t="str">
        <f t="shared" ca="1" si="41"/>
        <v/>
      </c>
      <c r="O113" s="157"/>
    </row>
    <row r="114" spans="1:21" s="175" customFormat="1" ht="16.5" customHeight="1" x14ac:dyDescent="0.2">
      <c r="A114" s="38">
        <f>COUNTIF($J$1:J114,"!")</f>
        <v>5</v>
      </c>
      <c r="B114" s="163" t="str">
        <f>IFERROR(VLOOKUP(C114,元件库!$B:$O,3,FALSE),"")</f>
        <v>静触头</v>
      </c>
      <c r="C114" s="164" t="s">
        <v>165</v>
      </c>
      <c r="D114" s="165" t="str">
        <f>IFERROR(VLOOKUP(C114,元件库!$B:$O,2,FALSE),"")</f>
        <v>福一开</v>
      </c>
      <c r="E114" s="166" t="str">
        <f t="shared" si="36"/>
        <v>只</v>
      </c>
      <c r="F114" s="166">
        <v>6</v>
      </c>
      <c r="G114" s="42">
        <f t="shared" si="37"/>
        <v>75</v>
      </c>
      <c r="H114" s="42">
        <f t="shared" si="38"/>
        <v>450</v>
      </c>
      <c r="I114" s="167"/>
      <c r="J114" s="168">
        <f t="shared" si="39"/>
        <v>1</v>
      </c>
      <c r="K114" s="169">
        <f t="shared" si="40"/>
        <v>75</v>
      </c>
      <c r="L114" s="170">
        <f>IFERROR(VLOOKUP(C114,元件库!$B:$O,10,FALSE),"1.00")</f>
        <v>1</v>
      </c>
      <c r="M114" s="171">
        <f>IFERROR(VLOOKUP(C114,元件库!$B:$O,11,FALSE),"")</f>
        <v>75</v>
      </c>
      <c r="N114" s="172" t="str">
        <f t="shared" ca="1" si="41"/>
        <v/>
      </c>
      <c r="O114" s="157"/>
      <c r="U114" s="162"/>
    </row>
    <row r="115" spans="1:21" s="175" customFormat="1" ht="16.5" customHeight="1" x14ac:dyDescent="0.2">
      <c r="A115" s="38">
        <f>COUNTIF($J$1:J115,"!")</f>
        <v>5</v>
      </c>
      <c r="B115" s="163" t="str">
        <f>IFERROR(VLOOKUP(C115,元件库!$B:$O,3,FALSE),"")</f>
        <v>触头盒</v>
      </c>
      <c r="C115" s="164" t="s">
        <v>4042</v>
      </c>
      <c r="D115" s="165" t="str">
        <f>IFERROR(VLOOKUP(C115,元件库!$B:$O,2,FALSE),"")</f>
        <v>福一开</v>
      </c>
      <c r="E115" s="166" t="str">
        <f t="shared" si="36"/>
        <v>只</v>
      </c>
      <c r="F115" s="166">
        <v>6</v>
      </c>
      <c r="G115" s="42">
        <f t="shared" si="37"/>
        <v>60</v>
      </c>
      <c r="H115" s="42">
        <f t="shared" si="38"/>
        <v>360</v>
      </c>
      <c r="I115" s="167"/>
      <c r="J115" s="168">
        <f t="shared" si="39"/>
        <v>1</v>
      </c>
      <c r="K115" s="169">
        <f t="shared" si="40"/>
        <v>60</v>
      </c>
      <c r="L115" s="170">
        <f>IFERROR(VLOOKUP(C115,元件库!$B:$O,10,FALSE),"1.00")</f>
        <v>1</v>
      </c>
      <c r="M115" s="171">
        <f>IFERROR(VLOOKUP(C115,元件库!$B:$O,11,FALSE),"")</f>
        <v>60</v>
      </c>
      <c r="N115" s="172" t="str">
        <f t="shared" ca="1" si="41"/>
        <v/>
      </c>
      <c r="O115" s="157"/>
      <c r="U115" s="162"/>
    </row>
    <row r="116" spans="1:21" s="175" customFormat="1" ht="16.5" customHeight="1" x14ac:dyDescent="0.2">
      <c r="A116" s="38">
        <f>COUNTIF($J$1:J116,"!")</f>
        <v>5</v>
      </c>
      <c r="B116" s="163" t="str">
        <f>IFERROR(VLOOKUP(C116,元件库!$B:$O,3,FALSE),"")</f>
        <v>穿墙套管</v>
      </c>
      <c r="C116" s="164" t="s">
        <v>135</v>
      </c>
      <c r="D116" s="165" t="str">
        <f>IFERROR(VLOOKUP(C116,元件库!$B:$O,2,FALSE),"")</f>
        <v>福一开</v>
      </c>
      <c r="E116" s="166" t="str">
        <f t="shared" si="36"/>
        <v>只</v>
      </c>
      <c r="F116" s="166">
        <v>3</v>
      </c>
      <c r="G116" s="42">
        <f t="shared" si="37"/>
        <v>45</v>
      </c>
      <c r="H116" s="42">
        <f t="shared" si="38"/>
        <v>135</v>
      </c>
      <c r="I116" s="167"/>
      <c r="J116" s="168">
        <f t="shared" si="39"/>
        <v>1</v>
      </c>
      <c r="K116" s="169">
        <f t="shared" si="40"/>
        <v>45</v>
      </c>
      <c r="L116" s="170">
        <f>IFERROR(VLOOKUP(C116,元件库!$B:$O,10,FALSE),"1.00")</f>
        <v>1</v>
      </c>
      <c r="M116" s="171">
        <f>IFERROR(VLOOKUP(C116,元件库!$B:$O,11,FALSE),"")</f>
        <v>45</v>
      </c>
      <c r="N116" s="172" t="str">
        <f t="shared" ca="1" si="41"/>
        <v/>
      </c>
      <c r="O116" s="157"/>
      <c r="U116" s="162"/>
    </row>
    <row r="117" spans="1:21" s="175" customFormat="1" ht="16.5" customHeight="1" x14ac:dyDescent="0.2">
      <c r="A117" s="38">
        <f>COUNTIF($J$1:J117,"!")</f>
        <v>5</v>
      </c>
      <c r="B117" s="163" t="str">
        <f>IFERROR(VLOOKUP(C117,元件库!$B:$O,3,FALSE),"")</f>
        <v>支柱绝缘子</v>
      </c>
      <c r="C117" s="164" t="s">
        <v>136</v>
      </c>
      <c r="D117" s="165" t="str">
        <f>IFERROR(VLOOKUP(C117,元件库!$B:$O,2,FALSE),"")</f>
        <v>福一开</v>
      </c>
      <c r="E117" s="166" t="str">
        <f t="shared" si="36"/>
        <v>只</v>
      </c>
      <c r="F117" s="166">
        <v>3</v>
      </c>
      <c r="G117" s="42">
        <f t="shared" si="37"/>
        <v>22</v>
      </c>
      <c r="H117" s="42">
        <f t="shared" si="38"/>
        <v>66</v>
      </c>
      <c r="I117" s="167"/>
      <c r="J117" s="168">
        <f t="shared" si="39"/>
        <v>1</v>
      </c>
      <c r="K117" s="169">
        <f t="shared" si="40"/>
        <v>22</v>
      </c>
      <c r="L117" s="170">
        <f>IFERROR(VLOOKUP(C117,元件库!$B:$O,10,FALSE),"1.00")</f>
        <v>1</v>
      </c>
      <c r="M117" s="171">
        <f>IFERROR(VLOOKUP(C117,元件库!$B:$O,11,FALSE),"")</f>
        <v>22</v>
      </c>
      <c r="N117" s="172" t="str">
        <f t="shared" ca="1" si="41"/>
        <v/>
      </c>
      <c r="O117" s="157"/>
      <c r="U117" s="162"/>
    </row>
    <row r="118" spans="1:21" s="175" customFormat="1" ht="16.5" customHeight="1" x14ac:dyDescent="0.2">
      <c r="A118" s="38">
        <f>COUNTIF($J$1:J118,"!")</f>
        <v>5</v>
      </c>
      <c r="B118" s="163" t="str">
        <f>IFERROR(VLOOKUP(C118,元件库!$B:$O,3,FALSE),"")</f>
        <v>电压传感器</v>
      </c>
      <c r="C118" s="164" t="s">
        <v>137</v>
      </c>
      <c r="D118" s="165" t="str">
        <f>IFERROR(VLOOKUP(C118,元件库!$B:$O,2,FALSE),"")</f>
        <v>福一开</v>
      </c>
      <c r="E118" s="166" t="str">
        <f t="shared" si="36"/>
        <v>只</v>
      </c>
      <c r="F118" s="166">
        <v>1</v>
      </c>
      <c r="G118" s="42">
        <f t="shared" si="37"/>
        <v>93</v>
      </c>
      <c r="H118" s="42">
        <f t="shared" si="38"/>
        <v>93</v>
      </c>
      <c r="I118" s="167"/>
      <c r="J118" s="168">
        <f t="shared" si="39"/>
        <v>1</v>
      </c>
      <c r="K118" s="169">
        <f t="shared" si="40"/>
        <v>93</v>
      </c>
      <c r="L118" s="170">
        <f>IFERROR(VLOOKUP(C118,元件库!$B:$O,10,FALSE),"1.00")</f>
        <v>1</v>
      </c>
      <c r="M118" s="171">
        <f>IFERROR(VLOOKUP(C118,元件库!$B:$O,11,FALSE),"")</f>
        <v>93</v>
      </c>
      <c r="N118" s="172" t="str">
        <f t="shared" ca="1" si="41"/>
        <v/>
      </c>
      <c r="O118" s="157"/>
      <c r="U118" s="162"/>
    </row>
    <row r="119" spans="1:21" s="175" customFormat="1" ht="16.5" customHeight="1" x14ac:dyDescent="0.2">
      <c r="A119" s="38">
        <f>COUNTIF($J$1:J119,"!")</f>
        <v>5</v>
      </c>
      <c r="B119" s="163" t="str">
        <f>IFERROR(VLOOKUP(C119,元件库!$B:$O,3,FALSE),"")</f>
        <v>带电显示器</v>
      </c>
      <c r="C119" s="164" t="s">
        <v>1897</v>
      </c>
      <c r="D119" s="165" t="str">
        <f>IFERROR(VLOOKUP(C119,元件库!$B:$O,2,FALSE),"")</f>
        <v>江山鑫源</v>
      </c>
      <c r="E119" s="166" t="str">
        <f t="shared" si="36"/>
        <v>只</v>
      </c>
      <c r="F119" s="166">
        <v>1</v>
      </c>
      <c r="G119" s="42">
        <f t="shared" si="37"/>
        <v>33</v>
      </c>
      <c r="H119" s="42">
        <f t="shared" si="38"/>
        <v>33</v>
      </c>
      <c r="I119" s="167"/>
      <c r="J119" s="168">
        <f t="shared" si="39"/>
        <v>1</v>
      </c>
      <c r="K119" s="169">
        <f t="shared" si="40"/>
        <v>33</v>
      </c>
      <c r="L119" s="170">
        <f>IFERROR(VLOOKUP(C119,元件库!$B:$O,10,FALSE),"1.00")</f>
        <v>1</v>
      </c>
      <c r="M119" s="171">
        <f>IFERROR(VLOOKUP(C119,元件库!$B:$O,11,FALSE),"")</f>
        <v>33</v>
      </c>
      <c r="N119" s="172" t="str">
        <f t="shared" ca="1" si="41"/>
        <v/>
      </c>
      <c r="O119" s="157"/>
      <c r="U119" s="162"/>
    </row>
    <row r="120" spans="1:21" s="175" customFormat="1" ht="16.5" customHeight="1" x14ac:dyDescent="0.2">
      <c r="A120" s="38">
        <f>COUNTIF($J$1:J120,"!")</f>
        <v>5</v>
      </c>
      <c r="B120" s="163" t="str">
        <f>IFERROR(VLOOKUP(C120,元件库!$B:$O,3,FALSE),"")</f>
        <v>电磁锁</v>
      </c>
      <c r="C120" s="164" t="s">
        <v>98</v>
      </c>
      <c r="D120" s="165" t="str">
        <f>IFERROR(VLOOKUP(C120,元件库!$B:$O,2,FALSE),"")</f>
        <v>哈陆拉</v>
      </c>
      <c r="E120" s="166" t="str">
        <f t="shared" si="36"/>
        <v>只</v>
      </c>
      <c r="F120" s="166">
        <v>1</v>
      </c>
      <c r="G120" s="42">
        <f t="shared" si="37"/>
        <v>55</v>
      </c>
      <c r="H120" s="42">
        <f t="shared" si="38"/>
        <v>55</v>
      </c>
      <c r="I120" s="167"/>
      <c r="J120" s="168">
        <f t="shared" si="39"/>
        <v>1</v>
      </c>
      <c r="K120" s="169">
        <f t="shared" si="40"/>
        <v>55</v>
      </c>
      <c r="L120" s="170">
        <f>IFERROR(VLOOKUP(C120,元件库!$B:$O,10,FALSE),"1.00")</f>
        <v>1</v>
      </c>
      <c r="M120" s="171">
        <f>IFERROR(VLOOKUP(C120,元件库!$B:$O,11,FALSE),"")</f>
        <v>55</v>
      </c>
      <c r="N120" s="172" t="str">
        <f t="shared" ca="1" si="41"/>
        <v/>
      </c>
      <c r="O120" s="157"/>
      <c r="U120" s="162"/>
    </row>
    <row r="121" spans="1:21" s="175" customFormat="1" ht="16.5" customHeight="1" x14ac:dyDescent="0.2">
      <c r="A121" s="38">
        <f>COUNTIF($J$1:J121,"!")</f>
        <v>5</v>
      </c>
      <c r="B121" s="163" t="str">
        <f>IFERROR(VLOOKUP(C121,元件库!$B:$O,3,FALSE),"")</f>
        <v>温湿度控制器</v>
      </c>
      <c r="C121" s="164" t="s">
        <v>3292</v>
      </c>
      <c r="D121" s="165" t="str">
        <f>IFERROR(VLOOKUP(C121,元件库!$B:$O,2,FALSE),"")</f>
        <v>实德电气</v>
      </c>
      <c r="E121" s="166" t="str">
        <f t="shared" si="36"/>
        <v>只</v>
      </c>
      <c r="F121" s="166">
        <v>1</v>
      </c>
      <c r="G121" s="42">
        <f t="shared" si="37"/>
        <v>80</v>
      </c>
      <c r="H121" s="42">
        <f t="shared" si="38"/>
        <v>80</v>
      </c>
      <c r="I121" s="167"/>
      <c r="J121" s="168">
        <f t="shared" si="39"/>
        <v>1</v>
      </c>
      <c r="K121" s="169">
        <f t="shared" si="40"/>
        <v>80</v>
      </c>
      <c r="L121" s="170">
        <f>IFERROR(VLOOKUP(C121,元件库!$B:$O,10,FALSE),"1.00")</f>
        <v>1</v>
      </c>
      <c r="M121" s="171">
        <f>IFERROR(VLOOKUP(C121,元件库!$B:$O,11,FALSE),"")</f>
        <v>80</v>
      </c>
      <c r="N121" s="172" t="str">
        <f t="shared" ca="1" si="41"/>
        <v/>
      </c>
      <c r="O121" s="157"/>
    </row>
    <row r="122" spans="1:21" s="175" customFormat="1" ht="16.5" customHeight="1" x14ac:dyDescent="0.2">
      <c r="A122" s="38">
        <f>COUNTIF($J$1:J122,"!")</f>
        <v>5</v>
      </c>
      <c r="B122" s="163" t="str">
        <f>IFERROR(VLOOKUP(C122,元件库!$B:$O,3,FALSE),"")</f>
        <v>加热器</v>
      </c>
      <c r="C122" s="164" t="s">
        <v>101</v>
      </c>
      <c r="D122" s="165" t="str">
        <f>IFERROR(VLOOKUP(C122,元件库!$B:$O,2,FALSE),"")</f>
        <v>实德电气</v>
      </c>
      <c r="E122" s="166" t="str">
        <f t="shared" si="36"/>
        <v>只</v>
      </c>
      <c r="F122" s="166">
        <v>2</v>
      </c>
      <c r="G122" s="42">
        <f t="shared" si="37"/>
        <v>18</v>
      </c>
      <c r="H122" s="42">
        <f t="shared" si="38"/>
        <v>36</v>
      </c>
      <c r="I122" s="167"/>
      <c r="J122" s="168">
        <f t="shared" si="39"/>
        <v>1</v>
      </c>
      <c r="K122" s="169">
        <f t="shared" si="40"/>
        <v>18</v>
      </c>
      <c r="L122" s="170">
        <f>IFERROR(VLOOKUP(C122,元件库!$B:$O,10,FALSE),"1.00")</f>
        <v>1</v>
      </c>
      <c r="M122" s="171">
        <f>IFERROR(VLOOKUP(C122,元件库!$B:$O,11,FALSE),"")</f>
        <v>18</v>
      </c>
      <c r="N122" s="172" t="str">
        <f t="shared" ca="1" si="41"/>
        <v/>
      </c>
      <c r="O122" s="157"/>
    </row>
    <row r="123" spans="1:21" s="175" customFormat="1" ht="16.5" customHeight="1" x14ac:dyDescent="0.2">
      <c r="A123" s="38">
        <f>COUNTIF($J$1:J123,"!")</f>
        <v>5</v>
      </c>
      <c r="B123" s="163" t="str">
        <f>IFERROR(VLOOKUP(C123,元件库!$B:$O,3,FALSE),"")</f>
        <v>高压热缩管</v>
      </c>
      <c r="C123" s="185" t="str">
        <f>"10KV"&amp;MID(C125,4,10)</f>
        <v>10KV-80*8</v>
      </c>
      <c r="D123" s="165" t="str">
        <f>IFERROR(VLOOKUP(C123,元件库!$B:$O,2,FALSE),"")</f>
        <v>精益联合集团</v>
      </c>
      <c r="E123" s="166" t="str">
        <f t="shared" si="36"/>
        <v>只</v>
      </c>
      <c r="F123" s="166">
        <f>ROUND(SUM(F124:F126),0)</f>
        <v>11</v>
      </c>
      <c r="G123" s="42">
        <f t="shared" si="37"/>
        <v>17</v>
      </c>
      <c r="H123" s="42">
        <f t="shared" si="38"/>
        <v>187</v>
      </c>
      <c r="I123" s="167"/>
      <c r="J123" s="168">
        <f t="shared" si="39"/>
        <v>1</v>
      </c>
      <c r="K123" s="169">
        <f t="shared" si="40"/>
        <v>17</v>
      </c>
      <c r="L123" s="170">
        <f>IFERROR(VLOOKUP(C123,元件库!$B:$O,10,FALSE),"1.00")</f>
        <v>1</v>
      </c>
      <c r="M123" s="171">
        <f>IFERROR(VLOOKUP(C123,元件库!$B:$O,11,FALSE),"")</f>
        <v>17</v>
      </c>
      <c r="N123" s="172" t="str">
        <f t="shared" ca="1" si="41"/>
        <v/>
      </c>
      <c r="O123" s="157"/>
    </row>
    <row r="124" spans="1:21" s="175" customFormat="1" ht="16.5" customHeight="1" x14ac:dyDescent="0.2">
      <c r="A124" s="38">
        <f>COUNTIF($J$1:J124,"!")</f>
        <v>5</v>
      </c>
      <c r="B124" s="163" t="str">
        <f>IFERROR(VLOOKUP(C124,元件库!$B:$O,3,FALSE),"")</f>
        <v>铜排</v>
      </c>
      <c r="C124" s="185" t="s">
        <v>2225</v>
      </c>
      <c r="D124" s="165" t="str">
        <f>IFERROR(VLOOKUP(C124,元件库!$B:$O,2,FALSE),"")</f>
        <v>欣利铜材</v>
      </c>
      <c r="E124" s="166" t="str">
        <f t="shared" si="36"/>
        <v>米</v>
      </c>
      <c r="F124" s="166">
        <v>8</v>
      </c>
      <c r="G124" s="42">
        <f t="shared" si="37"/>
        <v>324.67199999999997</v>
      </c>
      <c r="H124" s="42">
        <f t="shared" si="38"/>
        <v>2597.3759999999997</v>
      </c>
      <c r="I124" s="167"/>
      <c r="J124" s="168">
        <f t="shared" si="39"/>
        <v>1</v>
      </c>
      <c r="K124" s="169">
        <f t="shared" si="40"/>
        <v>324.67199999999997</v>
      </c>
      <c r="L124" s="170">
        <f>IFERROR(VLOOKUP(C124,元件库!$B:$O,10,FALSE),"1.00")</f>
        <v>1</v>
      </c>
      <c r="M124" s="171">
        <f>IFERROR(VLOOKUP(C124,元件库!$B:$O,11,FALSE),"")</f>
        <v>324.67199999999997</v>
      </c>
      <c r="N124" s="172" t="str">
        <f t="shared" ca="1" si="41"/>
        <v/>
      </c>
      <c r="O124" s="174" t="str">
        <f>O126</f>
        <v>KYN28A-800*1500*2300</v>
      </c>
    </row>
    <row r="125" spans="1:21" s="175" customFormat="1" ht="16.5" customHeight="1" x14ac:dyDescent="0.2">
      <c r="A125" s="38">
        <f>COUNTIF($J$1:J125,"!")</f>
        <v>5</v>
      </c>
      <c r="B125" s="163" t="s">
        <v>2171</v>
      </c>
      <c r="C125" s="185" t="s">
        <v>2225</v>
      </c>
      <c r="D125" s="165" t="str">
        <f>IFERROR(VLOOKUP(C125,元件库!$B:$O,2,FALSE),"")</f>
        <v>欣利铜材</v>
      </c>
      <c r="E125" s="166" t="str">
        <f t="shared" si="36"/>
        <v>米</v>
      </c>
      <c r="F125" s="166">
        <f>1*MID(O125,FIND("-",O125)+1,FIND("*",O125)-FIND("-",O125)-1)/1000*IF(B125="水平排",3,1)+IF(AND(B125="零母排",VLOOKUP(A125,A$1:B122,2,FALSE)="低压进线柜"),1.5,0)</f>
        <v>2.4000000000000004</v>
      </c>
      <c r="G125" s="42">
        <f t="shared" si="37"/>
        <v>324.67199999999997</v>
      </c>
      <c r="H125" s="42">
        <f t="shared" si="38"/>
        <v>779.21280000000002</v>
      </c>
      <c r="I125" s="167"/>
      <c r="J125" s="168">
        <f t="shared" si="39"/>
        <v>1</v>
      </c>
      <c r="K125" s="169">
        <f t="shared" si="40"/>
        <v>324.67199999999997</v>
      </c>
      <c r="L125" s="170">
        <f>IFERROR(VLOOKUP(C125,元件库!$B:$O,10,FALSE),"1.00")</f>
        <v>1</v>
      </c>
      <c r="M125" s="171">
        <f>IFERROR(VLOOKUP(C125,元件库!$B:$O,11,FALSE),"")</f>
        <v>324.67199999999997</v>
      </c>
      <c r="N125" s="172" t="str">
        <f t="shared" ca="1" si="41"/>
        <v/>
      </c>
      <c r="O125" s="174" t="str">
        <f>O128</f>
        <v>KYN28A-800*1500*2300</v>
      </c>
    </row>
    <row r="126" spans="1:21" s="175" customFormat="1" ht="16.5" customHeight="1" x14ac:dyDescent="0.2">
      <c r="A126" s="38">
        <f>COUNTIF($J$1:J126,"!")</f>
        <v>5</v>
      </c>
      <c r="B126" s="163" t="s">
        <v>2172</v>
      </c>
      <c r="C126" s="185" t="s">
        <v>2673</v>
      </c>
      <c r="D126" s="165" t="str">
        <f>IFERROR(VLOOKUP(C126,元件库!$B:$O,2,FALSE),"")</f>
        <v>欣利铜材</v>
      </c>
      <c r="E126" s="166" t="str">
        <f t="shared" si="36"/>
        <v>米</v>
      </c>
      <c r="F126" s="166">
        <f>1*MID(O126,FIND("-",O126)+1,FIND("*",O126)-FIND("-",O126)-1)/1000*IF(B126="水平排",3,1)+IF(AND(B126="零母排",VLOOKUP(A126,A$1:B123,2,FALSE)="低压进线柜"),1.5,0)</f>
        <v>0.8</v>
      </c>
      <c r="G126" s="42">
        <f t="shared" si="37"/>
        <v>126.82499999999999</v>
      </c>
      <c r="H126" s="42">
        <f t="shared" si="38"/>
        <v>101.46</v>
      </c>
      <c r="I126" s="167"/>
      <c r="J126" s="168">
        <f t="shared" si="39"/>
        <v>1</v>
      </c>
      <c r="K126" s="169">
        <f t="shared" si="40"/>
        <v>126.82499999999999</v>
      </c>
      <c r="L126" s="170">
        <f>IFERROR(VLOOKUP(C126,元件库!$B:$O,10,FALSE),"1.00")</f>
        <v>1</v>
      </c>
      <c r="M126" s="171">
        <f>IFERROR(VLOOKUP(C126,元件库!$B:$O,11,FALSE),"")</f>
        <v>126.82499999999999</v>
      </c>
      <c r="N126" s="172" t="str">
        <f t="shared" ca="1" si="41"/>
        <v/>
      </c>
      <c r="O126" s="174" t="str">
        <f>O129</f>
        <v>KYN28A-800*1500*2300</v>
      </c>
    </row>
    <row r="127" spans="1:21" s="162" customFormat="1" ht="16.5" customHeight="1" x14ac:dyDescent="0.2">
      <c r="A127" s="38">
        <f>COUNTIF($J$1:J127,"!")</f>
        <v>5</v>
      </c>
      <c r="B127" s="177" t="s">
        <v>107</v>
      </c>
      <c r="C127" s="164"/>
      <c r="D127" s="166"/>
      <c r="E127" s="166"/>
      <c r="F127" s="166"/>
      <c r="G127" s="42"/>
      <c r="H127" s="42"/>
      <c r="I127" s="178">
        <f>SUM(H109:H127)</f>
        <v>18354.2988</v>
      </c>
      <c r="J127" s="168"/>
      <c r="K127" s="169"/>
      <c r="L127" s="170"/>
      <c r="M127" s="171"/>
      <c r="O127" s="161"/>
      <c r="P127" s="157"/>
    </row>
    <row r="128" spans="1:21" ht="16.5" customHeight="1" x14ac:dyDescent="0.2">
      <c r="A128" s="38">
        <f>COUNTIF($J$1:J128,"!")</f>
        <v>5</v>
      </c>
      <c r="B128" s="179" t="s">
        <v>47</v>
      </c>
      <c r="C128" s="164"/>
      <c r="D128" s="166"/>
      <c r="E128" s="166"/>
      <c r="F128" s="166"/>
      <c r="G128" s="42"/>
      <c r="H128" s="42">
        <f>IFERROR(J128*M128*L128,"")</f>
        <v>900</v>
      </c>
      <c r="I128" s="167"/>
      <c r="J128" s="168">
        <f>P$1</f>
        <v>1</v>
      </c>
      <c r="K128" s="169">
        <f>IFERROR(M128*L128,"")</f>
        <v>900</v>
      </c>
      <c r="L128" s="170" t="str">
        <f>IFERROR(VLOOKUP(C128,元件库!$B:$O,10,FALSE),"1.00")</f>
        <v>1.00</v>
      </c>
      <c r="M128" s="171">
        <f>IF(ISNUMBER(FIND("提升",VLOOKUP(A128,A$1:B127,2,FALSE))),IF(B128="成套费",400,200),IF(OR(ISNUMBER(FIND("XGN",O128)),ISNUMBER(FIND("HXGN",O128))),IF(B128="成套费",800,600),IF(ISNUMBER(FIND("KYN28",O128)),IF(B128="成套费",900,700),"")))</f>
        <v>900</v>
      </c>
      <c r="O128" s="180" t="str">
        <f>C109</f>
        <v>KYN28A-800*1500*2300</v>
      </c>
    </row>
    <row r="129" spans="1:21" s="161" customFormat="1" ht="16.5" customHeight="1" x14ac:dyDescent="0.2">
      <c r="A129" s="38">
        <f>COUNTIF($J$1:J129,"!")</f>
        <v>5</v>
      </c>
      <c r="B129" s="179" t="s">
        <v>49</v>
      </c>
      <c r="C129" s="164"/>
      <c r="D129" s="166"/>
      <c r="E129" s="166"/>
      <c r="F129" s="166"/>
      <c r="G129" s="42"/>
      <c r="H129" s="42">
        <f>IFERROR(J129*M129*L129,"")</f>
        <v>700</v>
      </c>
      <c r="I129" s="167"/>
      <c r="J129" s="168">
        <f>P$1</f>
        <v>1</v>
      </c>
      <c r="K129" s="169">
        <f>IFERROR(M129*L129,"")</f>
        <v>700</v>
      </c>
      <c r="L129" s="170" t="str">
        <f>IFERROR(VLOOKUP(C129,元件库!$B:$O,10,FALSE),"1.00")</f>
        <v>1.00</v>
      </c>
      <c r="M129" s="171">
        <f>IF(ISNUMBER(FIND("提升",VLOOKUP(A129,A$1:B128,2,FALSE))),IF(B129="成套费",400,200),IF(OR(ISNUMBER(FIND("XGN",O129)),ISNUMBER(FIND("HXGN",O129))),IF(B129="成套费",800,600),IF(ISNUMBER(FIND("KYN28",O129)),IF(B129="成套费",900,700),"")))</f>
        <v>700</v>
      </c>
      <c r="O129" s="174" t="str">
        <f>O128</f>
        <v>KYN28A-800*1500*2300</v>
      </c>
      <c r="P129" s="162"/>
      <c r="Q129" s="162"/>
    </row>
    <row r="130" spans="1:21" s="161" customFormat="1" ht="16.5" customHeight="1" x14ac:dyDescent="0.2">
      <c r="A130" s="38">
        <f>COUNTIF($J$1:J130,"!")</f>
        <v>5</v>
      </c>
      <c r="B130" s="179" t="s">
        <v>79</v>
      </c>
      <c r="C130" s="164"/>
      <c r="D130" s="166"/>
      <c r="E130" s="166"/>
      <c r="F130" s="166"/>
      <c r="G130" s="42"/>
      <c r="H130" s="42">
        <f>K130*L130</f>
        <v>2394.515856</v>
      </c>
      <c r="I130" s="167"/>
      <c r="J130" s="168"/>
      <c r="K130" s="169">
        <f>SUM(H128:H129)+I127</f>
        <v>19954.2988</v>
      </c>
      <c r="L130" s="279">
        <f>R$1</f>
        <v>0.12</v>
      </c>
      <c r="M130" s="171"/>
      <c r="O130" s="181"/>
      <c r="P130" s="162"/>
      <c r="Q130" s="162"/>
    </row>
    <row r="131" spans="1:21" ht="16.5" customHeight="1" x14ac:dyDescent="0.2">
      <c r="A131" s="38">
        <f>COUNTIF($J$1:J131,"!")</f>
        <v>5</v>
      </c>
      <c r="B131" s="179" t="s">
        <v>108</v>
      </c>
      <c r="C131" s="164"/>
      <c r="D131" s="166"/>
      <c r="E131" s="166"/>
      <c r="F131" s="166"/>
      <c r="G131" s="184"/>
      <c r="H131" s="42">
        <f>K131*L131</f>
        <v>1340.9288793600001</v>
      </c>
      <c r="I131" s="167"/>
      <c r="J131" s="168"/>
      <c r="K131" s="169">
        <f>H130+K130</f>
        <v>22348.814656000002</v>
      </c>
      <c r="L131" s="279">
        <f>T$1</f>
        <v>0.06</v>
      </c>
      <c r="M131" s="171"/>
    </row>
    <row r="132" spans="1:21" s="162" customFormat="1" ht="16.5" customHeight="1" x14ac:dyDescent="0.15">
      <c r="A132" s="32">
        <f>COUNTIF($J$1:J132,"!")</f>
        <v>6</v>
      </c>
      <c r="B132" s="33" t="s">
        <v>4066</v>
      </c>
      <c r="C132" s="277" t="s">
        <v>4067</v>
      </c>
      <c r="D132" s="159"/>
      <c r="E132" s="34" t="s">
        <v>23</v>
      </c>
      <c r="F132" s="159">
        <v>1</v>
      </c>
      <c r="G132" s="36">
        <f>ROUND(SUM(H133:H152),0)</f>
        <v>16126</v>
      </c>
      <c r="H132" s="160" t="str">
        <f>IF(ISNUMBER(FIND(" ",C133)),MID(C133,1,FIND(" ",C133)-1),IF(ISNUMBER(FIND("电容柜",B132)),"GGJ",MID(C133,1,FIND("-",C133)-1)))</f>
        <v>KYN28A</v>
      </c>
      <c r="I132" s="47" t="str">
        <f>MID(C133,IF(LEN(C133)-LEN(H132)&gt;3,LEN(H132)+2,1),30)</f>
        <v>800*1500*2300</v>
      </c>
      <c r="J132" s="48" t="s">
        <v>24</v>
      </c>
      <c r="K132" s="49"/>
      <c r="L132" s="50"/>
      <c r="M132" s="51"/>
      <c r="N132" s="172"/>
      <c r="O132" s="161"/>
    </row>
    <row r="133" spans="1:21" s="175" customFormat="1" ht="16.5" customHeight="1" x14ac:dyDescent="0.2">
      <c r="A133" s="38">
        <f>COUNTIF($J$1:J133,"!")</f>
        <v>6</v>
      </c>
      <c r="B133" s="163" t="str">
        <f>IFERROR(VLOOKUP(C133,元件库!$B:$O,3,FALSE),"")</f>
        <v>壳体W*D*H</v>
      </c>
      <c r="C133" s="164" t="s">
        <v>4057</v>
      </c>
      <c r="D133" s="165" t="str">
        <f>IFERROR(VLOOKUP(C133,元件库!$B:$O,2,FALSE),"")</f>
        <v>精益联合集团</v>
      </c>
      <c r="E133" s="166" t="str">
        <f t="shared" ref="E133:E147" si="42">IF(D133="欣利铜材","米",IF(B133="氧化锌避雷器","组","只"))</f>
        <v>只</v>
      </c>
      <c r="F133" s="166">
        <v>1</v>
      </c>
      <c r="G133" s="42">
        <f t="shared" ref="G133:G147" si="43">IFERROR(J133*K133,"")</f>
        <v>4560</v>
      </c>
      <c r="H133" s="42">
        <f t="shared" ref="H133:H147" si="44">IFERROR(G133*F133,"")</f>
        <v>4560</v>
      </c>
      <c r="I133" s="167"/>
      <c r="J133" s="168">
        <f t="shared" ref="J133:J147" si="45">P$1</f>
        <v>1</v>
      </c>
      <c r="K133" s="169">
        <f t="shared" ref="K133:K147" si="46">IFERROR(M133*L133,"")</f>
        <v>4560</v>
      </c>
      <c r="L133" s="170">
        <v>0.95</v>
      </c>
      <c r="M133" s="171">
        <f>IFERROR(VLOOKUP(C133,元件库!$B:$O,11,FALSE),"")</f>
        <v>4800</v>
      </c>
      <c r="N133" s="172" t="str">
        <f t="shared" ref="N133:N147" ca="1" si="47">IF(AND(ISNUMBER(FIND("IF",_xlfn.FORMULATEXT(L133))),ISNUMBER(FIND("IF",_xlfn.FORMULATEXT(M133)))),"","值")</f>
        <v>值</v>
      </c>
      <c r="O133" s="157"/>
      <c r="U133" s="162"/>
    </row>
    <row r="134" spans="1:21" s="175" customFormat="1" ht="16.5" customHeight="1" x14ac:dyDescent="0.2">
      <c r="A134" s="38">
        <f>COUNTIF($J$1:J134,"!")</f>
        <v>6</v>
      </c>
      <c r="B134" s="163" t="str">
        <f>IFERROR(VLOOKUP(C134,元件库!$B:$O,3,FALSE),"")</f>
        <v>中置式隔离开关</v>
      </c>
      <c r="C134" s="164" t="s">
        <v>4068</v>
      </c>
      <c r="D134" s="165" t="s">
        <v>4058</v>
      </c>
      <c r="E134" s="166" t="str">
        <f t="shared" si="42"/>
        <v>只</v>
      </c>
      <c r="F134" s="166">
        <v>1</v>
      </c>
      <c r="G134" s="42">
        <f t="shared" si="43"/>
        <v>2450</v>
      </c>
      <c r="H134" s="42">
        <f t="shared" si="44"/>
        <v>2450</v>
      </c>
      <c r="I134" s="167"/>
      <c r="J134" s="168">
        <f t="shared" si="45"/>
        <v>1</v>
      </c>
      <c r="K134" s="169">
        <f t="shared" si="46"/>
        <v>2450</v>
      </c>
      <c r="L134" s="170">
        <f>IFERROR(VLOOKUP(C134,元件库!$B:$O,10,FALSE),"1.00")</f>
        <v>1</v>
      </c>
      <c r="M134" s="171">
        <f>IFERROR(VLOOKUP(C134,元件库!$B:$O,11,FALSE),"")</f>
        <v>2450</v>
      </c>
      <c r="N134" s="172" t="str">
        <f t="shared" ca="1" si="47"/>
        <v/>
      </c>
      <c r="O134" s="157"/>
      <c r="U134" s="162"/>
    </row>
    <row r="135" spans="1:21" s="175" customFormat="1" ht="16.5" customHeight="1" x14ac:dyDescent="0.2">
      <c r="A135" s="38">
        <f>COUNTIF($J$1:J135,"!")</f>
        <v>6</v>
      </c>
      <c r="B135" s="163" t="str">
        <f>IFERROR(VLOOKUP(C135,元件库!$B:$O,3,FALSE),"")</f>
        <v>静触头</v>
      </c>
      <c r="C135" s="164" t="s">
        <v>165</v>
      </c>
      <c r="D135" s="165" t="str">
        <f>IFERROR(VLOOKUP(C135,元件库!$B:$O,2,FALSE),"")</f>
        <v>福一开</v>
      </c>
      <c r="E135" s="166" t="str">
        <f t="shared" si="42"/>
        <v>只</v>
      </c>
      <c r="F135" s="166">
        <v>6</v>
      </c>
      <c r="G135" s="42">
        <f t="shared" si="43"/>
        <v>75</v>
      </c>
      <c r="H135" s="42">
        <f t="shared" si="44"/>
        <v>450</v>
      </c>
      <c r="I135" s="167"/>
      <c r="J135" s="168">
        <f t="shared" si="45"/>
        <v>1</v>
      </c>
      <c r="K135" s="169">
        <f t="shared" si="46"/>
        <v>75</v>
      </c>
      <c r="L135" s="170">
        <f>IFERROR(VLOOKUP(C135,元件库!$B:$O,10,FALSE),"1.00")</f>
        <v>1</v>
      </c>
      <c r="M135" s="171">
        <f>IFERROR(VLOOKUP(C135,元件库!$B:$O,11,FALSE),"")</f>
        <v>75</v>
      </c>
      <c r="N135" s="172" t="str">
        <f t="shared" ca="1" si="47"/>
        <v/>
      </c>
      <c r="O135" s="157"/>
      <c r="U135" s="162"/>
    </row>
    <row r="136" spans="1:21" s="175" customFormat="1" ht="16.5" customHeight="1" x14ac:dyDescent="0.2">
      <c r="A136" s="38">
        <f>COUNTIF($J$1:J136,"!")</f>
        <v>6</v>
      </c>
      <c r="B136" s="163" t="str">
        <f>IFERROR(VLOOKUP(C136,元件库!$B:$O,3,FALSE),"")</f>
        <v>触头盒</v>
      </c>
      <c r="C136" s="164" t="s">
        <v>4042</v>
      </c>
      <c r="D136" s="165" t="str">
        <f>IFERROR(VLOOKUP(C136,元件库!$B:$O,2,FALSE),"")</f>
        <v>福一开</v>
      </c>
      <c r="E136" s="166" t="str">
        <f t="shared" si="42"/>
        <v>只</v>
      </c>
      <c r="F136" s="166">
        <v>6</v>
      </c>
      <c r="G136" s="42">
        <f t="shared" si="43"/>
        <v>60</v>
      </c>
      <c r="H136" s="42">
        <f t="shared" si="44"/>
        <v>360</v>
      </c>
      <c r="I136" s="167"/>
      <c r="J136" s="168">
        <f t="shared" si="45"/>
        <v>1</v>
      </c>
      <c r="K136" s="169">
        <f t="shared" si="46"/>
        <v>60</v>
      </c>
      <c r="L136" s="170">
        <f>IFERROR(VLOOKUP(C136,元件库!$B:$O,10,FALSE),"1.00")</f>
        <v>1</v>
      </c>
      <c r="M136" s="171">
        <f>IFERROR(VLOOKUP(C136,元件库!$B:$O,11,FALSE),"")</f>
        <v>60</v>
      </c>
      <c r="N136" s="172" t="str">
        <f t="shared" ca="1" si="47"/>
        <v/>
      </c>
      <c r="O136" s="157"/>
      <c r="U136" s="162"/>
    </row>
    <row r="137" spans="1:21" s="175" customFormat="1" ht="16.5" customHeight="1" x14ac:dyDescent="0.2">
      <c r="A137" s="38">
        <f>COUNTIF($J$1:J137,"!")</f>
        <v>6</v>
      </c>
      <c r="B137" s="163" t="str">
        <f>IFERROR(VLOOKUP(C137,元件库!$B:$O,3,FALSE),"")</f>
        <v>穿墙套管</v>
      </c>
      <c r="C137" s="164" t="s">
        <v>135</v>
      </c>
      <c r="D137" s="165" t="str">
        <f>IFERROR(VLOOKUP(C137,元件库!$B:$O,2,FALSE),"")</f>
        <v>福一开</v>
      </c>
      <c r="E137" s="166" t="str">
        <f t="shared" si="42"/>
        <v>只</v>
      </c>
      <c r="F137" s="166">
        <v>3</v>
      </c>
      <c r="G137" s="42">
        <f t="shared" si="43"/>
        <v>45</v>
      </c>
      <c r="H137" s="42">
        <f t="shared" si="44"/>
        <v>135</v>
      </c>
      <c r="I137" s="167"/>
      <c r="J137" s="168">
        <f t="shared" si="45"/>
        <v>1</v>
      </c>
      <c r="K137" s="169">
        <f t="shared" si="46"/>
        <v>45</v>
      </c>
      <c r="L137" s="170">
        <f>IFERROR(VLOOKUP(C137,元件库!$B:$O,10,FALSE),"1.00")</f>
        <v>1</v>
      </c>
      <c r="M137" s="171">
        <f>IFERROR(VLOOKUP(C137,元件库!$B:$O,11,FALSE),"")</f>
        <v>45</v>
      </c>
      <c r="N137" s="172" t="str">
        <f t="shared" ca="1" si="47"/>
        <v/>
      </c>
      <c r="O137" s="157"/>
      <c r="U137" s="162"/>
    </row>
    <row r="138" spans="1:21" s="175" customFormat="1" ht="16.5" customHeight="1" x14ac:dyDescent="0.2">
      <c r="A138" s="38">
        <f>COUNTIF($J$1:J138,"!")</f>
        <v>6</v>
      </c>
      <c r="B138" s="163" t="str">
        <f>IFERROR(VLOOKUP(C138,元件库!$B:$O,3,FALSE),"")</f>
        <v>支柱绝缘子</v>
      </c>
      <c r="C138" s="164" t="s">
        <v>136</v>
      </c>
      <c r="D138" s="165" t="str">
        <f>IFERROR(VLOOKUP(C138,元件库!$B:$O,2,FALSE),"")</f>
        <v>福一开</v>
      </c>
      <c r="E138" s="166" t="str">
        <f t="shared" si="42"/>
        <v>只</v>
      </c>
      <c r="F138" s="166">
        <v>3</v>
      </c>
      <c r="G138" s="42">
        <f t="shared" si="43"/>
        <v>22</v>
      </c>
      <c r="H138" s="42">
        <f t="shared" si="44"/>
        <v>66</v>
      </c>
      <c r="I138" s="167"/>
      <c r="J138" s="168">
        <f t="shared" si="45"/>
        <v>1</v>
      </c>
      <c r="K138" s="169">
        <f t="shared" si="46"/>
        <v>22</v>
      </c>
      <c r="L138" s="170">
        <f>IFERROR(VLOOKUP(C138,元件库!$B:$O,10,FALSE),"1.00")</f>
        <v>1</v>
      </c>
      <c r="M138" s="171">
        <f>IFERROR(VLOOKUP(C138,元件库!$B:$O,11,FALSE),"")</f>
        <v>22</v>
      </c>
      <c r="N138" s="172" t="str">
        <f t="shared" ca="1" si="47"/>
        <v/>
      </c>
      <c r="O138" s="157"/>
      <c r="U138" s="162"/>
    </row>
    <row r="139" spans="1:21" s="175" customFormat="1" ht="16.5" customHeight="1" x14ac:dyDescent="0.2">
      <c r="A139" s="38">
        <f>COUNTIF($J$1:J139,"!")</f>
        <v>6</v>
      </c>
      <c r="B139" s="163" t="str">
        <f>IFERROR(VLOOKUP(C139,元件库!$B:$O,3,FALSE),"")</f>
        <v>电压传感器</v>
      </c>
      <c r="C139" s="164" t="s">
        <v>137</v>
      </c>
      <c r="D139" s="165" t="str">
        <f>IFERROR(VLOOKUP(C139,元件库!$B:$O,2,FALSE),"")</f>
        <v>福一开</v>
      </c>
      <c r="E139" s="166" t="str">
        <f t="shared" si="42"/>
        <v>只</v>
      </c>
      <c r="F139" s="166">
        <v>1</v>
      </c>
      <c r="G139" s="42">
        <f t="shared" si="43"/>
        <v>93</v>
      </c>
      <c r="H139" s="42">
        <f t="shared" si="44"/>
        <v>93</v>
      </c>
      <c r="I139" s="167"/>
      <c r="J139" s="168">
        <f t="shared" si="45"/>
        <v>1</v>
      </c>
      <c r="K139" s="169">
        <f t="shared" si="46"/>
        <v>93</v>
      </c>
      <c r="L139" s="170">
        <f>IFERROR(VLOOKUP(C139,元件库!$B:$O,10,FALSE),"1.00")</f>
        <v>1</v>
      </c>
      <c r="M139" s="171">
        <f>IFERROR(VLOOKUP(C139,元件库!$B:$O,11,FALSE),"")</f>
        <v>93</v>
      </c>
      <c r="N139" s="172" t="str">
        <f t="shared" ca="1" si="47"/>
        <v/>
      </c>
      <c r="O139" s="157"/>
      <c r="U139" s="162"/>
    </row>
    <row r="140" spans="1:21" s="175" customFormat="1" ht="16.5" customHeight="1" x14ac:dyDescent="0.2">
      <c r="A140" s="38">
        <f>COUNTIF($J$1:J140,"!")</f>
        <v>6</v>
      </c>
      <c r="B140" s="163" t="str">
        <f>IFERROR(VLOOKUP(C140,元件库!$B:$O,3,FALSE),"")</f>
        <v>带电显示器</v>
      </c>
      <c r="C140" s="164" t="s">
        <v>1897</v>
      </c>
      <c r="D140" s="165" t="str">
        <f>IFERROR(VLOOKUP(C140,元件库!$B:$O,2,FALSE),"")</f>
        <v>江山鑫源</v>
      </c>
      <c r="E140" s="166" t="str">
        <f t="shared" si="42"/>
        <v>只</v>
      </c>
      <c r="F140" s="166">
        <v>1</v>
      </c>
      <c r="G140" s="42">
        <f t="shared" si="43"/>
        <v>33</v>
      </c>
      <c r="H140" s="42">
        <f t="shared" si="44"/>
        <v>33</v>
      </c>
      <c r="I140" s="167"/>
      <c r="J140" s="168">
        <f t="shared" si="45"/>
        <v>1</v>
      </c>
      <c r="K140" s="169">
        <f t="shared" si="46"/>
        <v>33</v>
      </c>
      <c r="L140" s="170">
        <f>IFERROR(VLOOKUP(C140,元件库!$B:$O,10,FALSE),"1.00")</f>
        <v>1</v>
      </c>
      <c r="M140" s="171">
        <f>IFERROR(VLOOKUP(C140,元件库!$B:$O,11,FALSE),"")</f>
        <v>33</v>
      </c>
      <c r="N140" s="172" t="str">
        <f t="shared" ca="1" si="47"/>
        <v/>
      </c>
      <c r="O140" s="157"/>
      <c r="U140" s="162"/>
    </row>
    <row r="141" spans="1:21" s="175" customFormat="1" ht="16.5" customHeight="1" x14ac:dyDescent="0.2">
      <c r="A141" s="38">
        <f>COUNTIF($J$1:J141,"!")</f>
        <v>6</v>
      </c>
      <c r="B141" s="163" t="str">
        <f>IFERROR(VLOOKUP(C141,元件库!$B:$O,3,FALSE),"")</f>
        <v>电磁锁</v>
      </c>
      <c r="C141" s="164" t="s">
        <v>98</v>
      </c>
      <c r="D141" s="165" t="str">
        <f>IFERROR(VLOOKUP(C141,元件库!$B:$O,2,FALSE),"")</f>
        <v>哈陆拉</v>
      </c>
      <c r="E141" s="166" t="str">
        <f t="shared" si="42"/>
        <v>只</v>
      </c>
      <c r="F141" s="166">
        <v>1</v>
      </c>
      <c r="G141" s="42">
        <f t="shared" si="43"/>
        <v>55</v>
      </c>
      <c r="H141" s="42">
        <f t="shared" si="44"/>
        <v>55</v>
      </c>
      <c r="I141" s="167"/>
      <c r="J141" s="168">
        <f t="shared" si="45"/>
        <v>1</v>
      </c>
      <c r="K141" s="169">
        <f t="shared" si="46"/>
        <v>55</v>
      </c>
      <c r="L141" s="170">
        <f>IFERROR(VLOOKUP(C141,元件库!$B:$O,10,FALSE),"1.00")</f>
        <v>1</v>
      </c>
      <c r="M141" s="171">
        <f>IFERROR(VLOOKUP(C141,元件库!$B:$O,11,FALSE),"")</f>
        <v>55</v>
      </c>
      <c r="N141" s="172" t="str">
        <f t="shared" ca="1" si="47"/>
        <v/>
      </c>
      <c r="O141" s="157"/>
      <c r="U141" s="162"/>
    </row>
    <row r="142" spans="1:21" s="175" customFormat="1" ht="16.5" customHeight="1" x14ac:dyDescent="0.2">
      <c r="A142" s="38">
        <f>COUNTIF($J$1:J142,"!")</f>
        <v>6</v>
      </c>
      <c r="B142" s="163" t="str">
        <f>IFERROR(VLOOKUP(C142,元件库!$B:$O,3,FALSE),"")</f>
        <v>温湿度控制器</v>
      </c>
      <c r="C142" s="164" t="s">
        <v>3292</v>
      </c>
      <c r="D142" s="165" t="str">
        <f>IFERROR(VLOOKUP(C142,元件库!$B:$O,2,FALSE),"")</f>
        <v>实德电气</v>
      </c>
      <c r="E142" s="166" t="str">
        <f t="shared" si="42"/>
        <v>只</v>
      </c>
      <c r="F142" s="166">
        <v>1</v>
      </c>
      <c r="G142" s="42">
        <f t="shared" si="43"/>
        <v>80</v>
      </c>
      <c r="H142" s="42">
        <f t="shared" si="44"/>
        <v>80</v>
      </c>
      <c r="I142" s="167"/>
      <c r="J142" s="168">
        <f t="shared" si="45"/>
        <v>1</v>
      </c>
      <c r="K142" s="169">
        <f t="shared" si="46"/>
        <v>80</v>
      </c>
      <c r="L142" s="170">
        <f>IFERROR(VLOOKUP(C142,元件库!$B:$O,10,FALSE),"1.00")</f>
        <v>1</v>
      </c>
      <c r="M142" s="171">
        <f>IFERROR(VLOOKUP(C142,元件库!$B:$O,11,FALSE),"")</f>
        <v>80</v>
      </c>
      <c r="N142" s="172" t="str">
        <f t="shared" ca="1" si="47"/>
        <v/>
      </c>
      <c r="O142" s="157"/>
    </row>
    <row r="143" spans="1:21" s="175" customFormat="1" ht="16.5" customHeight="1" x14ac:dyDescent="0.2">
      <c r="A143" s="38">
        <f>COUNTIF($J$1:J143,"!")</f>
        <v>6</v>
      </c>
      <c r="B143" s="163" t="str">
        <f>IFERROR(VLOOKUP(C143,元件库!$B:$O,3,FALSE),"")</f>
        <v>加热器</v>
      </c>
      <c r="C143" s="164" t="s">
        <v>101</v>
      </c>
      <c r="D143" s="165" t="str">
        <f>IFERROR(VLOOKUP(C143,元件库!$B:$O,2,FALSE),"")</f>
        <v>实德电气</v>
      </c>
      <c r="E143" s="166" t="str">
        <f t="shared" si="42"/>
        <v>只</v>
      </c>
      <c r="F143" s="166">
        <v>2</v>
      </c>
      <c r="G143" s="42">
        <f t="shared" si="43"/>
        <v>18</v>
      </c>
      <c r="H143" s="42">
        <f t="shared" si="44"/>
        <v>36</v>
      </c>
      <c r="I143" s="167"/>
      <c r="J143" s="168">
        <f t="shared" si="45"/>
        <v>1</v>
      </c>
      <c r="K143" s="169">
        <f t="shared" si="46"/>
        <v>18</v>
      </c>
      <c r="L143" s="170">
        <f>IFERROR(VLOOKUP(C143,元件库!$B:$O,10,FALSE),"1.00")</f>
        <v>1</v>
      </c>
      <c r="M143" s="171">
        <f>IFERROR(VLOOKUP(C143,元件库!$B:$O,11,FALSE),"")</f>
        <v>18</v>
      </c>
      <c r="N143" s="172" t="str">
        <f t="shared" ca="1" si="47"/>
        <v/>
      </c>
      <c r="O143" s="157"/>
    </row>
    <row r="144" spans="1:21" s="175" customFormat="1" ht="16.5" customHeight="1" x14ac:dyDescent="0.2">
      <c r="A144" s="38">
        <f>COUNTIF($J$1:J144,"!")</f>
        <v>6</v>
      </c>
      <c r="B144" s="163" t="str">
        <f>IFERROR(VLOOKUP(C144,元件库!$B:$O,3,FALSE),"")</f>
        <v>高压热缩管</v>
      </c>
      <c r="C144" s="185" t="str">
        <f>"10KV"&amp;MID(C146,4,10)</f>
        <v>10KV-80*8</v>
      </c>
      <c r="D144" s="165" t="str">
        <f>IFERROR(VLOOKUP(C144,元件库!$B:$O,2,FALSE),"")</f>
        <v>精益联合集团</v>
      </c>
      <c r="E144" s="166" t="str">
        <f t="shared" si="42"/>
        <v>只</v>
      </c>
      <c r="F144" s="166">
        <f>ROUND(SUM(F145:F147),0)</f>
        <v>11</v>
      </c>
      <c r="G144" s="42">
        <f t="shared" si="43"/>
        <v>17</v>
      </c>
      <c r="H144" s="42">
        <f t="shared" si="44"/>
        <v>187</v>
      </c>
      <c r="I144" s="167"/>
      <c r="J144" s="168">
        <f t="shared" si="45"/>
        <v>1</v>
      </c>
      <c r="K144" s="169">
        <f t="shared" si="46"/>
        <v>17</v>
      </c>
      <c r="L144" s="170">
        <f>IFERROR(VLOOKUP(C144,元件库!$B:$O,10,FALSE),"1.00")</f>
        <v>1</v>
      </c>
      <c r="M144" s="171">
        <f>IFERROR(VLOOKUP(C144,元件库!$B:$O,11,FALSE),"")</f>
        <v>17</v>
      </c>
      <c r="N144" s="172" t="str">
        <f t="shared" ca="1" si="47"/>
        <v/>
      </c>
      <c r="O144" s="157"/>
    </row>
    <row r="145" spans="1:17" s="175" customFormat="1" ht="16.5" customHeight="1" x14ac:dyDescent="0.2">
      <c r="A145" s="38">
        <f>COUNTIF($J$1:J145,"!")</f>
        <v>6</v>
      </c>
      <c r="B145" s="163" t="str">
        <f>IFERROR(VLOOKUP(C145,元件库!$B:$O,3,FALSE),"")</f>
        <v>铜排</v>
      </c>
      <c r="C145" s="185" t="s">
        <v>2225</v>
      </c>
      <c r="D145" s="165" t="str">
        <f>IFERROR(VLOOKUP(C145,元件库!$B:$O,2,FALSE),"")</f>
        <v>欣利铜材</v>
      </c>
      <c r="E145" s="166" t="str">
        <f t="shared" si="42"/>
        <v>米</v>
      </c>
      <c r="F145" s="166">
        <v>8</v>
      </c>
      <c r="G145" s="42">
        <f t="shared" si="43"/>
        <v>324.67199999999997</v>
      </c>
      <c r="H145" s="42">
        <f t="shared" si="44"/>
        <v>2597.3759999999997</v>
      </c>
      <c r="I145" s="167"/>
      <c r="J145" s="168">
        <f t="shared" si="45"/>
        <v>1</v>
      </c>
      <c r="K145" s="169">
        <f t="shared" si="46"/>
        <v>324.67199999999997</v>
      </c>
      <c r="L145" s="170">
        <f>IFERROR(VLOOKUP(C145,元件库!$B:$O,10,FALSE),"1.00")</f>
        <v>1</v>
      </c>
      <c r="M145" s="171">
        <f>IFERROR(VLOOKUP(C145,元件库!$B:$O,11,FALSE),"")</f>
        <v>324.67199999999997</v>
      </c>
      <c r="N145" s="172" t="str">
        <f t="shared" ca="1" si="47"/>
        <v/>
      </c>
      <c r="O145" s="174" t="str">
        <f>O147</f>
        <v>KYN28A-800*1500*2300</v>
      </c>
    </row>
    <row r="146" spans="1:17" s="175" customFormat="1" ht="16.5" customHeight="1" x14ac:dyDescent="0.2">
      <c r="A146" s="38">
        <f>COUNTIF($J$1:J146,"!")</f>
        <v>6</v>
      </c>
      <c r="B146" s="163" t="s">
        <v>2171</v>
      </c>
      <c r="C146" s="185" t="s">
        <v>2225</v>
      </c>
      <c r="D146" s="165" t="str">
        <f>IFERROR(VLOOKUP(C146,元件库!$B:$O,2,FALSE),"")</f>
        <v>欣利铜材</v>
      </c>
      <c r="E146" s="166" t="str">
        <f t="shared" si="42"/>
        <v>米</v>
      </c>
      <c r="F146" s="166">
        <f>1*MID(O146,FIND("-",O146)+1,FIND("*",O146)-FIND("-",O146)-1)/1000*IF(B146="水平排",3,1)+IF(AND(B146="零母排",VLOOKUP(A146,A$1:B143,2,FALSE)="低压进线柜"),1.5,0)</f>
        <v>2.4000000000000004</v>
      </c>
      <c r="G146" s="42">
        <f t="shared" si="43"/>
        <v>324.67199999999997</v>
      </c>
      <c r="H146" s="42">
        <f t="shared" si="44"/>
        <v>779.21280000000002</v>
      </c>
      <c r="I146" s="167"/>
      <c r="J146" s="168">
        <f t="shared" si="45"/>
        <v>1</v>
      </c>
      <c r="K146" s="169">
        <f t="shared" si="46"/>
        <v>324.67199999999997</v>
      </c>
      <c r="L146" s="170">
        <f>IFERROR(VLOOKUP(C146,元件库!$B:$O,10,FALSE),"1.00")</f>
        <v>1</v>
      </c>
      <c r="M146" s="171">
        <f>IFERROR(VLOOKUP(C146,元件库!$B:$O,11,FALSE),"")</f>
        <v>324.67199999999997</v>
      </c>
      <c r="N146" s="172" t="str">
        <f t="shared" ca="1" si="47"/>
        <v/>
      </c>
      <c r="O146" s="174" t="str">
        <f>O149</f>
        <v>KYN28A-800*1500*2300</v>
      </c>
    </row>
    <row r="147" spans="1:17" s="175" customFormat="1" ht="16.5" customHeight="1" x14ac:dyDescent="0.2">
      <c r="A147" s="38">
        <f>COUNTIF($J$1:J147,"!")</f>
        <v>6</v>
      </c>
      <c r="B147" s="163" t="s">
        <v>2172</v>
      </c>
      <c r="C147" s="185" t="s">
        <v>2673</v>
      </c>
      <c r="D147" s="165" t="str">
        <f>IFERROR(VLOOKUP(C147,元件库!$B:$O,2,FALSE),"")</f>
        <v>欣利铜材</v>
      </c>
      <c r="E147" s="166" t="str">
        <f t="shared" si="42"/>
        <v>米</v>
      </c>
      <c r="F147" s="166">
        <f>1*MID(O147,FIND("-",O147)+1,FIND("*",O147)-FIND("-",O147)-1)/1000*IF(B147="水平排",3,1)+IF(AND(B147="零母排",VLOOKUP(A147,A$1:B144,2,FALSE)="低压进线柜"),1.5,0)</f>
        <v>0.8</v>
      </c>
      <c r="G147" s="42">
        <f t="shared" si="43"/>
        <v>126.82499999999999</v>
      </c>
      <c r="H147" s="42">
        <f t="shared" si="44"/>
        <v>101.46</v>
      </c>
      <c r="I147" s="167"/>
      <c r="J147" s="168">
        <f t="shared" si="45"/>
        <v>1</v>
      </c>
      <c r="K147" s="169">
        <f t="shared" si="46"/>
        <v>126.82499999999999</v>
      </c>
      <c r="L147" s="170">
        <f>IFERROR(VLOOKUP(C147,元件库!$B:$O,10,FALSE),"1.00")</f>
        <v>1</v>
      </c>
      <c r="M147" s="171">
        <f>IFERROR(VLOOKUP(C147,元件库!$B:$O,11,FALSE),"")</f>
        <v>126.82499999999999</v>
      </c>
      <c r="N147" s="172" t="str">
        <f t="shared" ca="1" si="47"/>
        <v/>
      </c>
      <c r="O147" s="174" t="str">
        <f>O150</f>
        <v>KYN28A-800*1500*2300</v>
      </c>
    </row>
    <row r="148" spans="1:17" s="162" customFormat="1" ht="16.5" customHeight="1" x14ac:dyDescent="0.2">
      <c r="A148" s="38">
        <f>COUNTIF($J$1:J148,"!")</f>
        <v>6</v>
      </c>
      <c r="B148" s="177" t="s">
        <v>107</v>
      </c>
      <c r="C148" s="164"/>
      <c r="D148" s="166"/>
      <c r="E148" s="166"/>
      <c r="F148" s="166"/>
      <c r="G148" s="42"/>
      <c r="H148" s="42"/>
      <c r="I148" s="178">
        <f>SUM(H133:H148)</f>
        <v>11983.048799999999</v>
      </c>
      <c r="J148" s="168"/>
      <c r="K148" s="169"/>
      <c r="L148" s="170"/>
      <c r="M148" s="171"/>
      <c r="O148" s="161"/>
      <c r="P148" s="157"/>
    </row>
    <row r="149" spans="1:17" ht="16.5" customHeight="1" x14ac:dyDescent="0.2">
      <c r="A149" s="38">
        <f>COUNTIF($J$1:J149,"!")</f>
        <v>6</v>
      </c>
      <c r="B149" s="179" t="s">
        <v>47</v>
      </c>
      <c r="C149" s="164"/>
      <c r="D149" s="166"/>
      <c r="E149" s="166"/>
      <c r="F149" s="166"/>
      <c r="G149" s="42"/>
      <c r="H149" s="42">
        <f>IFERROR(J149*M149*L149,"")</f>
        <v>900</v>
      </c>
      <c r="I149" s="167"/>
      <c r="J149" s="168">
        <f>P$1</f>
        <v>1</v>
      </c>
      <c r="K149" s="169">
        <f>IFERROR(M149*L149,"")</f>
        <v>900</v>
      </c>
      <c r="L149" s="170" t="str">
        <f>IFERROR(VLOOKUP(C149,元件库!$B:$O,10,FALSE),"1.00")</f>
        <v>1.00</v>
      </c>
      <c r="M149" s="171">
        <f>IF(ISNUMBER(FIND("提升",VLOOKUP(A149,A$1:B148,2,FALSE))),IF(B149="成套费",400,200),IF(OR(ISNUMBER(FIND("XGN",O149)),ISNUMBER(FIND("HXGN",O149))),IF(B149="成套费",800,600),IF(ISNUMBER(FIND("KYN28",O149)),IF(B149="成套费",900,700),"")))</f>
        <v>900</v>
      </c>
      <c r="O149" s="180" t="str">
        <f>C133</f>
        <v>KYN28A-800*1500*2300</v>
      </c>
    </row>
    <row r="150" spans="1:17" s="161" customFormat="1" ht="16.5" customHeight="1" x14ac:dyDescent="0.2">
      <c r="A150" s="38">
        <f>COUNTIF($J$1:J150,"!")</f>
        <v>6</v>
      </c>
      <c r="B150" s="179" t="s">
        <v>49</v>
      </c>
      <c r="C150" s="164"/>
      <c r="D150" s="166"/>
      <c r="E150" s="166"/>
      <c r="F150" s="166"/>
      <c r="G150" s="42"/>
      <c r="H150" s="42">
        <f>IFERROR(J150*M150*L150,"")</f>
        <v>700</v>
      </c>
      <c r="I150" s="167"/>
      <c r="J150" s="168">
        <f>P$1</f>
        <v>1</v>
      </c>
      <c r="K150" s="169">
        <f>IFERROR(M150*L150,"")</f>
        <v>700</v>
      </c>
      <c r="L150" s="170" t="str">
        <f>IFERROR(VLOOKUP(C150,元件库!$B:$O,10,FALSE),"1.00")</f>
        <v>1.00</v>
      </c>
      <c r="M150" s="171">
        <f>IF(ISNUMBER(FIND("提升",VLOOKUP(A150,A$1:B149,2,FALSE))),IF(B150="成套费",400,200),IF(OR(ISNUMBER(FIND("XGN",O150)),ISNUMBER(FIND("HXGN",O150))),IF(B150="成套费",800,600),IF(ISNUMBER(FIND("KYN28",O150)),IF(B150="成套费",900,700),"")))</f>
        <v>700</v>
      </c>
      <c r="O150" s="174" t="str">
        <f>O149</f>
        <v>KYN28A-800*1500*2300</v>
      </c>
      <c r="P150" s="162"/>
      <c r="Q150" s="162"/>
    </row>
    <row r="151" spans="1:17" s="161" customFormat="1" ht="16.5" customHeight="1" x14ac:dyDescent="0.2">
      <c r="A151" s="38">
        <f>COUNTIF($J$1:J151,"!")</f>
        <v>6</v>
      </c>
      <c r="B151" s="179" t="s">
        <v>79</v>
      </c>
      <c r="C151" s="164"/>
      <c r="D151" s="166"/>
      <c r="E151" s="166"/>
      <c r="F151" s="166"/>
      <c r="G151" s="42"/>
      <c r="H151" s="42">
        <f>K151*L151</f>
        <v>1629.9658559999998</v>
      </c>
      <c r="I151" s="167"/>
      <c r="J151" s="168"/>
      <c r="K151" s="169">
        <f>SUM(H149:H150)+I148</f>
        <v>13583.048799999999</v>
      </c>
      <c r="L151" s="279">
        <f>R$1</f>
        <v>0.12</v>
      </c>
      <c r="M151" s="171"/>
      <c r="O151" s="181"/>
      <c r="P151" s="162"/>
      <c r="Q151" s="162"/>
    </row>
    <row r="152" spans="1:17" ht="16.5" customHeight="1" x14ac:dyDescent="0.2">
      <c r="A152" s="38">
        <f>COUNTIF($J$1:J152,"!")</f>
        <v>6</v>
      </c>
      <c r="B152" s="179" t="s">
        <v>108</v>
      </c>
      <c r="C152" s="164"/>
      <c r="D152" s="166"/>
      <c r="E152" s="166"/>
      <c r="F152" s="166"/>
      <c r="G152" s="184"/>
      <c r="H152" s="42">
        <f>K152*L152</f>
        <v>912.78087935999997</v>
      </c>
      <c r="I152" s="167"/>
      <c r="J152" s="168"/>
      <c r="K152" s="169">
        <f>H151+K151</f>
        <v>15213.014655999999</v>
      </c>
      <c r="L152" s="279">
        <f>T$1</f>
        <v>0.06</v>
      </c>
      <c r="M152" s="171"/>
    </row>
  </sheetData>
  <autoFilter ref="A1:N151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OFFSET(元件库!$B$1,MATCH(C2&amp;"*",元件库!$B:$B,0)-1,,IF(COUNTIF(元件库!$B:$B,C2&amp;"*")&gt;1,40,1))</xm:f>
          </x14:formula1>
          <xm:sqref>C2:C152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3"/>
  <dimension ref="A1:W25"/>
  <sheetViews>
    <sheetView workbookViewId="0">
      <pane ySplit="1" topLeftCell="A2" activePane="bottomLeft" state="frozen"/>
      <selection activeCell="C27" sqref="C27"/>
      <selection pane="bottomLeft" activeCell="D26" sqref="D26"/>
    </sheetView>
  </sheetViews>
  <sheetFormatPr defaultColWidth="7" defaultRowHeight="12" x14ac:dyDescent="0.2"/>
  <cols>
    <col min="1" max="1" width="3.625" style="238" customWidth="1"/>
    <col min="2" max="2" width="14.125" style="239" customWidth="1"/>
    <col min="3" max="3" width="21.625" style="240" customWidth="1"/>
    <col min="4" max="4" width="11.625" style="241" customWidth="1"/>
    <col min="5" max="6" width="4.125" style="241" customWidth="1"/>
    <col min="7" max="8" width="9.625" style="242" customWidth="1"/>
    <col min="9" max="9" width="14.625" style="243" customWidth="1"/>
    <col min="10" max="10" width="4.625" style="238" customWidth="1"/>
    <col min="11" max="11" width="8.125" style="242" customWidth="1"/>
    <col min="12" max="12" width="5.125" style="242" customWidth="1"/>
    <col min="13" max="13" width="8.125" style="242" customWidth="1"/>
    <col min="14" max="14" width="3.625" style="225" customWidth="1"/>
    <col min="15" max="15" width="4.625" style="225" customWidth="1"/>
    <col min="16" max="16" width="4.625" style="237" customWidth="1"/>
    <col min="17" max="17" width="4.625" style="225" customWidth="1"/>
    <col min="18" max="20" width="4.625" style="226" customWidth="1"/>
    <col min="21" max="23" width="4.625" style="221" customWidth="1"/>
    <col min="24" max="16384" width="7" style="221"/>
  </cols>
  <sheetData>
    <row r="1" spans="1:23" s="214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8" t="s">
        <v>140</v>
      </c>
      <c r="O1" s="281" t="s">
        <v>18</v>
      </c>
      <c r="P1" s="282">
        <v>1.1200000000000001</v>
      </c>
      <c r="Q1" s="281" t="s">
        <v>2342</v>
      </c>
      <c r="R1" s="282">
        <v>0.06</v>
      </c>
      <c r="S1" s="282" t="s">
        <v>80</v>
      </c>
      <c r="T1" s="282">
        <v>0</v>
      </c>
    </row>
    <row r="2" spans="1:23" ht="16.5" customHeight="1" x14ac:dyDescent="0.15">
      <c r="A2" s="32">
        <f>COUNTIF($J$1:J2,"!")</f>
        <v>1</v>
      </c>
      <c r="B2" s="33" t="str">
        <f>B3</f>
        <v>电气火灾监控主机</v>
      </c>
      <c r="C2" s="33" t="str">
        <f>C3</f>
        <v>WEFPS-B-64</v>
      </c>
      <c r="D2" s="159" t="s">
        <v>2231</v>
      </c>
      <c r="E2" s="34" t="s">
        <v>48</v>
      </c>
      <c r="F2" s="223">
        <v>1</v>
      </c>
      <c r="G2" s="36">
        <f>ROUND(SUM(H3:H7),0)</f>
        <v>33069</v>
      </c>
      <c r="H2" s="224"/>
      <c r="I2" s="47"/>
      <c r="J2" s="48" t="s">
        <v>24</v>
      </c>
      <c r="K2" s="49"/>
      <c r="L2" s="50"/>
      <c r="M2" s="51"/>
      <c r="P2" s="225"/>
      <c r="Q2" s="226"/>
      <c r="T2" s="221"/>
    </row>
    <row r="3" spans="1:23" s="231" customFormat="1" ht="16.5" customHeight="1" x14ac:dyDescent="0.2">
      <c r="A3" s="38">
        <f>COUNTIF($J$1:J3,"!")</f>
        <v>1</v>
      </c>
      <c r="B3" s="68" t="s">
        <v>2235</v>
      </c>
      <c r="C3" s="227" t="s">
        <v>2236</v>
      </c>
      <c r="D3" s="155" t="s">
        <v>2234</v>
      </c>
      <c r="E3" s="65" t="str">
        <f>IF(D3="欣利铜材","米",IF(B3="氧化锌避雷器","组","只"))</f>
        <v>只</v>
      </c>
      <c r="F3" s="65">
        <v>1</v>
      </c>
      <c r="G3" s="42">
        <f>IF(M3="","",IFERROR(J3*K3,""))</f>
        <v>31197.321792000006</v>
      </c>
      <c r="H3" s="42">
        <f>IF(M3="","",IFERROR(F3*G3,""))</f>
        <v>31197.321792000006</v>
      </c>
      <c r="I3" s="72"/>
      <c r="J3" s="228">
        <f>P$1</f>
        <v>1.1200000000000001</v>
      </c>
      <c r="K3" s="81">
        <f>IFERROR(M3*L3,"")</f>
        <v>27854.751600000003</v>
      </c>
      <c r="L3" s="82">
        <v>0.68</v>
      </c>
      <c r="M3" s="229">
        <v>40962.870000000003</v>
      </c>
      <c r="N3" s="57" t="str">
        <f t="shared" ref="N3:N4" ca="1" si="0">IF(AND(ISNUMBER(FIND("IF",_xlfn.FORMULATEXT(L3))),ISNUMBER(FIND("IF",_xlfn.FORMULATEXT(M3)))),"","值")</f>
        <v>值</v>
      </c>
      <c r="O3" s="221"/>
      <c r="W3" s="226"/>
    </row>
    <row r="4" spans="1:23" s="231" customFormat="1" ht="16.5" customHeight="1" x14ac:dyDescent="0.2">
      <c r="A4" s="38">
        <f>COUNTIF($J$1:J4,"!")</f>
        <v>1</v>
      </c>
      <c r="B4" s="68" t="str">
        <f>IFERROR(VLOOKUP(C4,元件库!$B:$N,3,FALSE),"")</f>
        <v/>
      </c>
      <c r="C4" s="227"/>
      <c r="D4" s="155" t="str">
        <f>IFERROR(VLOOKUP(C4,元件库!$B:$N,11,FALSE),"")</f>
        <v/>
      </c>
      <c r="E4" s="65" t="str">
        <f>IF(D4="欣利铜材","米",IF(B4="氧化锌避雷器","组","只"))</f>
        <v>只</v>
      </c>
      <c r="F4" s="65">
        <v>1</v>
      </c>
      <c r="G4" s="42" t="str">
        <f>IF(M4="","",IFERROR(J4*K4,""))</f>
        <v/>
      </c>
      <c r="H4" s="42" t="str">
        <f>IF(M4="","",IFERROR(F4*G4,""))</f>
        <v/>
      </c>
      <c r="I4" s="72"/>
      <c r="J4" s="228">
        <f>P$1</f>
        <v>1.1200000000000001</v>
      </c>
      <c r="K4" s="81" t="str">
        <f>IFERROR(M4*L4,"")</f>
        <v/>
      </c>
      <c r="L4" s="55" t="str">
        <f>IFERROR(VLOOKUP(C4,元件库!$B:$O,10,FALSE),"1.00")</f>
        <v>1.00</v>
      </c>
      <c r="M4" s="229" t="str">
        <f>IFERROR(VLOOKUP(C4,元件库!$B:$N,11,FALSE),"")</f>
        <v/>
      </c>
      <c r="N4" s="57" t="str">
        <f t="shared" ca="1" si="0"/>
        <v/>
      </c>
      <c r="O4" s="221"/>
      <c r="W4" s="226"/>
    </row>
    <row r="5" spans="1:23" ht="16.5" customHeight="1" x14ac:dyDescent="0.2">
      <c r="A5" s="38">
        <f>COUNTIF($J$1:J5,"!")</f>
        <v>1</v>
      </c>
      <c r="B5" s="232" t="s">
        <v>107</v>
      </c>
      <c r="C5" s="227"/>
      <c r="D5" s="155"/>
      <c r="E5" s="65"/>
      <c r="F5" s="65"/>
      <c r="G5" s="42"/>
      <c r="H5" s="42"/>
      <c r="I5" s="233">
        <f>SUM(H2:H5)</f>
        <v>31197.321792000006</v>
      </c>
      <c r="J5" s="228"/>
      <c r="K5" s="81"/>
      <c r="L5" s="82"/>
      <c r="M5" s="229"/>
      <c r="O5" s="221"/>
      <c r="P5" s="226"/>
      <c r="Q5" s="221"/>
      <c r="T5" s="221"/>
    </row>
    <row r="6" spans="1:23" s="225" customFormat="1" ht="16.5" customHeight="1" x14ac:dyDescent="0.2">
      <c r="A6" s="38">
        <f>COUNTIF($J$1:J6,"!")</f>
        <v>1</v>
      </c>
      <c r="B6" s="234" t="s">
        <v>79</v>
      </c>
      <c r="C6" s="227"/>
      <c r="D6" s="65"/>
      <c r="E6" s="65"/>
      <c r="F6" s="65"/>
      <c r="G6" s="42"/>
      <c r="H6" s="42">
        <f>K6*L6</f>
        <v>1871.8393075200004</v>
      </c>
      <c r="I6" s="72"/>
      <c r="J6" s="228"/>
      <c r="K6" s="81">
        <f>I5</f>
        <v>31197.321792000006</v>
      </c>
      <c r="L6" s="280">
        <f>R$1</f>
        <v>0.06</v>
      </c>
      <c r="M6" s="229"/>
      <c r="N6" s="235"/>
      <c r="O6" s="221"/>
      <c r="Q6" s="226"/>
      <c r="R6" s="226"/>
      <c r="S6" s="226"/>
    </row>
    <row r="7" spans="1:23" ht="16.5" customHeight="1" x14ac:dyDescent="0.2">
      <c r="A7" s="38">
        <f>COUNTIF($J$1:J7,"!")</f>
        <v>1</v>
      </c>
      <c r="B7" s="234" t="s">
        <v>108</v>
      </c>
      <c r="C7" s="227"/>
      <c r="D7" s="65"/>
      <c r="E7" s="65"/>
      <c r="F7" s="65"/>
      <c r="G7" s="236"/>
      <c r="H7" s="42">
        <f>K7*L7</f>
        <v>0</v>
      </c>
      <c r="I7" s="72"/>
      <c r="J7" s="228"/>
      <c r="K7" s="81">
        <f>H6+K6</f>
        <v>33069.16109952001</v>
      </c>
      <c r="L7" s="280">
        <f>T$1</f>
        <v>0</v>
      </c>
      <c r="M7" s="229"/>
      <c r="O7" s="237"/>
      <c r="P7" s="225"/>
      <c r="Q7" s="226"/>
      <c r="T7" s="221"/>
    </row>
    <row r="8" spans="1:23" ht="16.5" customHeight="1" x14ac:dyDescent="0.15">
      <c r="A8" s="32">
        <f>COUNTIF($J$1:J8,"!")</f>
        <v>2</v>
      </c>
      <c r="B8" s="33" t="str">
        <f>B9</f>
        <v>电气火灾监控主机</v>
      </c>
      <c r="C8" s="33" t="str">
        <f>C9</f>
        <v>WEFPS-B-128</v>
      </c>
      <c r="D8" s="159" t="s">
        <v>2231</v>
      </c>
      <c r="E8" s="34" t="s">
        <v>48</v>
      </c>
      <c r="F8" s="223">
        <v>1</v>
      </c>
      <c r="G8" s="36">
        <f>ROUND(SUM(H9:H13),0)</f>
        <v>33549</v>
      </c>
      <c r="H8" s="224"/>
      <c r="I8" s="47"/>
      <c r="J8" s="48" t="s">
        <v>24</v>
      </c>
      <c r="K8" s="49"/>
      <c r="L8" s="50"/>
      <c r="M8" s="51"/>
      <c r="P8" s="225"/>
      <c r="Q8" s="226"/>
      <c r="T8" s="221"/>
    </row>
    <row r="9" spans="1:23" s="231" customFormat="1" ht="16.5" customHeight="1" x14ac:dyDescent="0.2">
      <c r="A9" s="38">
        <f>COUNTIF($J$1:J9,"!")</f>
        <v>2</v>
      </c>
      <c r="B9" s="68" t="s">
        <v>2235</v>
      </c>
      <c r="C9" s="227" t="s">
        <v>2237</v>
      </c>
      <c r="D9" s="155" t="s">
        <v>2234</v>
      </c>
      <c r="E9" s="65" t="str">
        <f>IF(D9="欣利铜材","米",IF(B9="氧化锌避雷器","组","只"))</f>
        <v>只</v>
      </c>
      <c r="F9" s="65">
        <v>1</v>
      </c>
      <c r="G9" s="42">
        <f>IF(M9="","",IFERROR(J9*K9,""))</f>
        <v>31650.374784000003</v>
      </c>
      <c r="H9" s="42">
        <f>IF(M9="","",IFERROR(F9*G9,""))</f>
        <v>31650.374784000003</v>
      </c>
      <c r="I9" s="72"/>
      <c r="J9" s="228">
        <f>P$1</f>
        <v>1.1200000000000001</v>
      </c>
      <c r="K9" s="81">
        <f>IFERROR(M9*L9,"")</f>
        <v>28259.263200000001</v>
      </c>
      <c r="L9" s="82">
        <v>0.68</v>
      </c>
      <c r="M9" s="229">
        <v>41557.74</v>
      </c>
      <c r="N9" s="57" t="str">
        <f t="shared" ref="N9:N10" ca="1" si="1">IF(AND(ISNUMBER(FIND("IF",_xlfn.FORMULATEXT(L9))),ISNUMBER(FIND("IF",_xlfn.FORMULATEXT(M9)))),"","值")</f>
        <v>值</v>
      </c>
      <c r="O9" s="221"/>
      <c r="W9" s="226"/>
    </row>
    <row r="10" spans="1:23" s="231" customFormat="1" ht="16.5" customHeight="1" x14ac:dyDescent="0.2">
      <c r="A10" s="38">
        <f>COUNTIF($J$1:J10,"!")</f>
        <v>2</v>
      </c>
      <c r="B10" s="68" t="str">
        <f>IFERROR(VLOOKUP(C10,元件库!$B:$N,3,FALSE),"")</f>
        <v/>
      </c>
      <c r="C10" s="227"/>
      <c r="D10" s="155" t="str">
        <f>IFERROR(VLOOKUP(C10,元件库!$B:$N,11,FALSE),"")</f>
        <v/>
      </c>
      <c r="E10" s="65" t="str">
        <f>IF(D10="欣利铜材","米",IF(B10="氧化锌避雷器","组","只"))</f>
        <v>只</v>
      </c>
      <c r="F10" s="65">
        <v>1</v>
      </c>
      <c r="G10" s="42" t="str">
        <f>IF(M10="","",IFERROR(J10*K10,""))</f>
        <v/>
      </c>
      <c r="H10" s="42" t="str">
        <f>IF(M10="","",IFERROR(F10*G10,""))</f>
        <v/>
      </c>
      <c r="I10" s="72"/>
      <c r="J10" s="228">
        <f>P$1</f>
        <v>1.1200000000000001</v>
      </c>
      <c r="K10" s="81" t="str">
        <f>IFERROR(M10*L10,"")</f>
        <v/>
      </c>
      <c r="L10" s="55" t="str">
        <f>IFERROR(VLOOKUP(C10,元件库!$B:$O,10,FALSE),"1.00")</f>
        <v>1.00</v>
      </c>
      <c r="M10" s="229" t="str">
        <f>IFERROR(VLOOKUP(C10,元件库!$B:$N,11,FALSE),"")</f>
        <v/>
      </c>
      <c r="N10" s="57" t="str">
        <f t="shared" ca="1" si="1"/>
        <v/>
      </c>
      <c r="O10" s="221"/>
      <c r="W10" s="226"/>
    </row>
    <row r="11" spans="1:23" ht="16.5" customHeight="1" x14ac:dyDescent="0.2">
      <c r="A11" s="38">
        <f>COUNTIF($J$1:J11,"!")</f>
        <v>2</v>
      </c>
      <c r="B11" s="232" t="s">
        <v>107</v>
      </c>
      <c r="C11" s="227"/>
      <c r="D11" s="155"/>
      <c r="E11" s="65"/>
      <c r="F11" s="65"/>
      <c r="G11" s="42"/>
      <c r="H11" s="42"/>
      <c r="I11" s="233">
        <f>SUM(H8:H11)</f>
        <v>31650.374784000003</v>
      </c>
      <c r="J11" s="228"/>
      <c r="K11" s="81"/>
      <c r="L11" s="82"/>
      <c r="M11" s="229"/>
      <c r="O11" s="221"/>
      <c r="P11" s="226"/>
      <c r="Q11" s="221"/>
      <c r="T11" s="221"/>
    </row>
    <row r="12" spans="1:23" s="225" customFormat="1" ht="16.5" customHeight="1" x14ac:dyDescent="0.2">
      <c r="A12" s="38">
        <f>COUNTIF($J$1:J12,"!")</f>
        <v>2</v>
      </c>
      <c r="B12" s="234" t="s">
        <v>79</v>
      </c>
      <c r="C12" s="227"/>
      <c r="D12" s="65"/>
      <c r="E12" s="65"/>
      <c r="F12" s="65"/>
      <c r="G12" s="42"/>
      <c r="H12" s="42">
        <f>K12*L12</f>
        <v>1899.0224870400002</v>
      </c>
      <c r="I12" s="72"/>
      <c r="J12" s="228"/>
      <c r="K12" s="81">
        <f>I11</f>
        <v>31650.374784000003</v>
      </c>
      <c r="L12" s="280">
        <f>R$1</f>
        <v>0.06</v>
      </c>
      <c r="M12" s="229"/>
      <c r="N12" s="235"/>
      <c r="O12" s="221"/>
      <c r="Q12" s="226"/>
      <c r="R12" s="226"/>
      <c r="S12" s="226"/>
    </row>
    <row r="13" spans="1:23" ht="16.5" customHeight="1" x14ac:dyDescent="0.2">
      <c r="A13" s="38">
        <f>COUNTIF($J$1:J13,"!")</f>
        <v>2</v>
      </c>
      <c r="B13" s="234" t="s">
        <v>108</v>
      </c>
      <c r="C13" s="227"/>
      <c r="D13" s="65"/>
      <c r="E13" s="65"/>
      <c r="F13" s="65"/>
      <c r="G13" s="236"/>
      <c r="H13" s="42">
        <f>K13*L13</f>
        <v>0</v>
      </c>
      <c r="I13" s="72"/>
      <c r="J13" s="228"/>
      <c r="K13" s="81">
        <f>H12+K12</f>
        <v>33549.397271040005</v>
      </c>
      <c r="L13" s="280">
        <f>T$1</f>
        <v>0</v>
      </c>
      <c r="M13" s="229"/>
      <c r="O13" s="237"/>
      <c r="P13" s="225"/>
      <c r="Q13" s="226"/>
      <c r="T13" s="221"/>
    </row>
    <row r="14" spans="1:23" ht="16.5" customHeight="1" x14ac:dyDescent="0.15">
      <c r="A14" s="32">
        <f>COUNTIF($J$1:J14,"!")</f>
        <v>3</v>
      </c>
      <c r="B14" s="33" t="str">
        <f>B15</f>
        <v>电气火灾监控主机</v>
      </c>
      <c r="C14" s="33" t="str">
        <f>C15</f>
        <v>WEFPS-B-64</v>
      </c>
      <c r="D14" s="159" t="s">
        <v>2232</v>
      </c>
      <c r="E14" s="34" t="s">
        <v>48</v>
      </c>
      <c r="F14" s="223">
        <v>1</v>
      </c>
      <c r="G14" s="36">
        <f>ROUND(SUM(H15:H19),0)</f>
        <v>33069</v>
      </c>
      <c r="H14" s="224"/>
      <c r="I14" s="47"/>
      <c r="J14" s="48" t="s">
        <v>24</v>
      </c>
      <c r="K14" s="49"/>
      <c r="L14" s="50"/>
      <c r="M14" s="51"/>
      <c r="P14" s="225"/>
      <c r="Q14" s="226"/>
      <c r="T14" s="221"/>
    </row>
    <row r="15" spans="1:23" s="231" customFormat="1" ht="16.5" customHeight="1" x14ac:dyDescent="0.2">
      <c r="A15" s="38">
        <f>COUNTIF($J$1:J15,"!")</f>
        <v>3</v>
      </c>
      <c r="B15" s="68" t="s">
        <v>2235</v>
      </c>
      <c r="C15" s="227" t="s">
        <v>2236</v>
      </c>
      <c r="D15" s="155" t="s">
        <v>2234</v>
      </c>
      <c r="E15" s="65" t="str">
        <f>IF(D15="欣利铜材","米",IF(B15="氧化锌避雷器","组","只"))</f>
        <v>只</v>
      </c>
      <c r="F15" s="65">
        <v>1</v>
      </c>
      <c r="G15" s="42">
        <f>IF(M15="","",IFERROR(J15*K15,""))</f>
        <v>31197.321792000006</v>
      </c>
      <c r="H15" s="42">
        <f>IF(M15="","",IFERROR(F15*G15,""))</f>
        <v>31197.321792000006</v>
      </c>
      <c r="I15" s="72"/>
      <c r="J15" s="228">
        <f>P$1</f>
        <v>1.1200000000000001</v>
      </c>
      <c r="K15" s="81">
        <f>IFERROR(M15*L15,"")</f>
        <v>27854.751600000003</v>
      </c>
      <c r="L15" s="82">
        <v>0.68</v>
      </c>
      <c r="M15" s="229">
        <v>40962.870000000003</v>
      </c>
      <c r="N15" s="57" t="str">
        <f t="shared" ref="N15:N16" ca="1" si="2">IF(AND(ISNUMBER(FIND("IF",_xlfn.FORMULATEXT(L15))),ISNUMBER(FIND("IF",_xlfn.FORMULATEXT(M15)))),"","值")</f>
        <v>值</v>
      </c>
      <c r="O15" s="221"/>
      <c r="W15" s="226"/>
    </row>
    <row r="16" spans="1:23" s="231" customFormat="1" ht="16.5" customHeight="1" x14ac:dyDescent="0.2">
      <c r="A16" s="38">
        <f>COUNTIF($J$1:J16,"!")</f>
        <v>3</v>
      </c>
      <c r="B16" s="68" t="str">
        <f>IFERROR(VLOOKUP(C16,元件库!$B:$N,3,FALSE),"")</f>
        <v/>
      </c>
      <c r="C16" s="227"/>
      <c r="D16" s="155" t="str">
        <f>IFERROR(VLOOKUP(C16,元件库!$B:$N,11,FALSE),"")</f>
        <v/>
      </c>
      <c r="E16" s="65" t="str">
        <f>IF(D16="欣利铜材","米",IF(B16="氧化锌避雷器","组","只"))</f>
        <v>只</v>
      </c>
      <c r="F16" s="65">
        <v>1</v>
      </c>
      <c r="G16" s="42" t="str">
        <f>IF(M16="","",IFERROR(J16*K16,""))</f>
        <v/>
      </c>
      <c r="H16" s="42" t="str">
        <f>IF(M16="","",IFERROR(F16*G16,""))</f>
        <v/>
      </c>
      <c r="I16" s="72"/>
      <c r="J16" s="228">
        <f>P$1</f>
        <v>1.1200000000000001</v>
      </c>
      <c r="K16" s="81" t="str">
        <f>IFERROR(M16*L16,"")</f>
        <v/>
      </c>
      <c r="L16" s="55" t="str">
        <f>IFERROR(VLOOKUP(C16,元件库!$B:$O,10,FALSE),"1.00")</f>
        <v>1.00</v>
      </c>
      <c r="M16" s="229" t="str">
        <f>IFERROR(VLOOKUP(C16,元件库!$B:$N,11,FALSE),"")</f>
        <v/>
      </c>
      <c r="N16" s="57" t="str">
        <f t="shared" ca="1" si="2"/>
        <v/>
      </c>
      <c r="O16" s="221"/>
      <c r="W16" s="226"/>
    </row>
    <row r="17" spans="1:23" ht="16.5" customHeight="1" x14ac:dyDescent="0.2">
      <c r="A17" s="38">
        <f>COUNTIF($J$1:J17,"!")</f>
        <v>3</v>
      </c>
      <c r="B17" s="232" t="s">
        <v>107</v>
      </c>
      <c r="C17" s="227"/>
      <c r="D17" s="155"/>
      <c r="E17" s="65"/>
      <c r="F17" s="65"/>
      <c r="G17" s="42"/>
      <c r="H17" s="42"/>
      <c r="I17" s="233">
        <f>SUM(H14:H17)</f>
        <v>31197.321792000006</v>
      </c>
      <c r="J17" s="228"/>
      <c r="K17" s="81"/>
      <c r="L17" s="82"/>
      <c r="M17" s="229"/>
      <c r="O17" s="221"/>
      <c r="P17" s="226"/>
      <c r="Q17" s="221"/>
      <c r="T17" s="221"/>
    </row>
    <row r="18" spans="1:23" s="225" customFormat="1" ht="16.5" customHeight="1" x14ac:dyDescent="0.2">
      <c r="A18" s="38">
        <f>COUNTIF($J$1:J18,"!")</f>
        <v>3</v>
      </c>
      <c r="B18" s="234" t="s">
        <v>79</v>
      </c>
      <c r="C18" s="227"/>
      <c r="D18" s="65"/>
      <c r="E18" s="65"/>
      <c r="F18" s="65"/>
      <c r="G18" s="42"/>
      <c r="H18" s="42">
        <f>K18*L18</f>
        <v>1871.8393075200004</v>
      </c>
      <c r="I18" s="72"/>
      <c r="J18" s="228"/>
      <c r="K18" s="81">
        <f>I17</f>
        <v>31197.321792000006</v>
      </c>
      <c r="L18" s="280">
        <f>R$1</f>
        <v>0.06</v>
      </c>
      <c r="M18" s="229"/>
      <c r="N18" s="235"/>
      <c r="O18" s="221"/>
      <c r="Q18" s="226"/>
      <c r="R18" s="226"/>
      <c r="S18" s="226"/>
    </row>
    <row r="19" spans="1:23" ht="16.5" customHeight="1" x14ac:dyDescent="0.2">
      <c r="A19" s="38">
        <f>COUNTIF($J$1:J19,"!")</f>
        <v>3</v>
      </c>
      <c r="B19" s="234" t="s">
        <v>108</v>
      </c>
      <c r="C19" s="227"/>
      <c r="D19" s="65"/>
      <c r="E19" s="65"/>
      <c r="F19" s="65"/>
      <c r="G19" s="236"/>
      <c r="H19" s="42">
        <f>K19*L19</f>
        <v>0</v>
      </c>
      <c r="I19" s="72"/>
      <c r="J19" s="228"/>
      <c r="K19" s="81">
        <f>H18+K18</f>
        <v>33069.16109952001</v>
      </c>
      <c r="L19" s="280">
        <f>T$1</f>
        <v>0</v>
      </c>
      <c r="M19" s="229"/>
      <c r="O19" s="237"/>
      <c r="P19" s="225"/>
      <c r="Q19" s="226"/>
      <c r="T19" s="221"/>
    </row>
    <row r="20" spans="1:23" ht="16.5" customHeight="1" x14ac:dyDescent="0.15">
      <c r="A20" s="32">
        <f>COUNTIF($J$1:J20,"!")</f>
        <v>4</v>
      </c>
      <c r="B20" s="33" t="str">
        <f>B21</f>
        <v>电气火灾监控主机</v>
      </c>
      <c r="C20" s="33" t="str">
        <f>C21</f>
        <v>WEFPS-B-128</v>
      </c>
      <c r="D20" s="159" t="s">
        <v>2232</v>
      </c>
      <c r="E20" s="34" t="s">
        <v>48</v>
      </c>
      <c r="F20" s="223">
        <v>1</v>
      </c>
      <c r="G20" s="36">
        <f>ROUND(SUM(H21:H25),0)</f>
        <v>33549</v>
      </c>
      <c r="H20" s="224"/>
      <c r="I20" s="47"/>
      <c r="J20" s="48" t="s">
        <v>24</v>
      </c>
      <c r="K20" s="49"/>
      <c r="L20" s="50"/>
      <c r="M20" s="51"/>
      <c r="P20" s="225"/>
      <c r="Q20" s="226"/>
      <c r="T20" s="221"/>
    </row>
    <row r="21" spans="1:23" s="231" customFormat="1" ht="16.5" customHeight="1" x14ac:dyDescent="0.2">
      <c r="A21" s="38">
        <f>COUNTIF($J$1:J21,"!")</f>
        <v>4</v>
      </c>
      <c r="B21" s="68" t="s">
        <v>2235</v>
      </c>
      <c r="C21" s="227" t="s">
        <v>2237</v>
      </c>
      <c r="D21" s="155" t="s">
        <v>2234</v>
      </c>
      <c r="E21" s="65" t="str">
        <f>IF(D21="欣利铜材","米",IF(B21="氧化锌避雷器","组","只"))</f>
        <v>只</v>
      </c>
      <c r="F21" s="65">
        <v>1</v>
      </c>
      <c r="G21" s="42">
        <f>IF(M21="","",IFERROR(J21*K21,""))</f>
        <v>31650.374784000003</v>
      </c>
      <c r="H21" s="42">
        <f>IF(M21="","",IFERROR(F21*G21,""))</f>
        <v>31650.374784000003</v>
      </c>
      <c r="I21" s="72"/>
      <c r="J21" s="228">
        <f>P$1</f>
        <v>1.1200000000000001</v>
      </c>
      <c r="K21" s="81">
        <f>IFERROR(M21*L21,"")</f>
        <v>28259.263200000001</v>
      </c>
      <c r="L21" s="82">
        <v>0.68</v>
      </c>
      <c r="M21" s="229">
        <v>41557.74</v>
      </c>
      <c r="N21" s="57" t="str">
        <f t="shared" ref="N21:N22" ca="1" si="3">IF(AND(ISNUMBER(FIND("IF",_xlfn.FORMULATEXT(L21))),ISNUMBER(FIND("IF",_xlfn.FORMULATEXT(M21)))),"","值")</f>
        <v>值</v>
      </c>
      <c r="O21" s="221"/>
      <c r="W21" s="226"/>
    </row>
    <row r="22" spans="1:23" s="231" customFormat="1" ht="16.5" customHeight="1" x14ac:dyDescent="0.2">
      <c r="A22" s="38">
        <f>COUNTIF($J$1:J22,"!")</f>
        <v>4</v>
      </c>
      <c r="B22" s="68" t="str">
        <f>IFERROR(VLOOKUP(C22,元件库!$B:$N,3,FALSE),"")</f>
        <v/>
      </c>
      <c r="C22" s="227"/>
      <c r="D22" s="155" t="str">
        <f>IFERROR(VLOOKUP(C22,元件库!$B:$N,11,FALSE),"")</f>
        <v/>
      </c>
      <c r="E22" s="65" t="str">
        <f>IF(D22="欣利铜材","米",IF(B22="氧化锌避雷器","组","只"))</f>
        <v>只</v>
      </c>
      <c r="F22" s="65">
        <v>1</v>
      </c>
      <c r="G22" s="42" t="str">
        <f>IF(M22="","",IFERROR(J22*K22,""))</f>
        <v/>
      </c>
      <c r="H22" s="42" t="str">
        <f>IF(M22="","",IFERROR(F22*G22,""))</f>
        <v/>
      </c>
      <c r="I22" s="72"/>
      <c r="J22" s="228">
        <f>P$1</f>
        <v>1.1200000000000001</v>
      </c>
      <c r="K22" s="81" t="str">
        <f>IFERROR(M22*L22,"")</f>
        <v/>
      </c>
      <c r="L22" s="55" t="str">
        <f>IFERROR(VLOOKUP(C22,元件库!$B:$O,10,FALSE),"1.00")</f>
        <v>1.00</v>
      </c>
      <c r="M22" s="229" t="str">
        <f>IFERROR(VLOOKUP(C22,元件库!$B:$N,11,FALSE),"")</f>
        <v/>
      </c>
      <c r="N22" s="57" t="str">
        <f t="shared" ca="1" si="3"/>
        <v/>
      </c>
      <c r="O22" s="221"/>
      <c r="W22" s="226"/>
    </row>
    <row r="23" spans="1:23" ht="16.5" customHeight="1" x14ac:dyDescent="0.2">
      <c r="A23" s="38">
        <f>COUNTIF($J$1:J23,"!")</f>
        <v>4</v>
      </c>
      <c r="B23" s="232" t="s">
        <v>107</v>
      </c>
      <c r="C23" s="227"/>
      <c r="D23" s="155"/>
      <c r="E23" s="65"/>
      <c r="F23" s="65"/>
      <c r="G23" s="42"/>
      <c r="H23" s="42"/>
      <c r="I23" s="233">
        <f>SUM(H20:H23)</f>
        <v>31650.374784000003</v>
      </c>
      <c r="J23" s="228"/>
      <c r="K23" s="81"/>
      <c r="L23" s="82"/>
      <c r="M23" s="229"/>
      <c r="O23" s="221"/>
      <c r="P23" s="226"/>
      <c r="Q23" s="221"/>
      <c r="T23" s="221"/>
    </row>
    <row r="24" spans="1:23" s="225" customFormat="1" ht="16.5" customHeight="1" x14ac:dyDescent="0.2">
      <c r="A24" s="38">
        <f>COUNTIF($J$1:J24,"!")</f>
        <v>4</v>
      </c>
      <c r="B24" s="234" t="s">
        <v>79</v>
      </c>
      <c r="C24" s="227"/>
      <c r="D24" s="65"/>
      <c r="E24" s="65"/>
      <c r="F24" s="65"/>
      <c r="G24" s="42"/>
      <c r="H24" s="42">
        <f>K24*L24</f>
        <v>1899.0224870400002</v>
      </c>
      <c r="I24" s="72"/>
      <c r="J24" s="228"/>
      <c r="K24" s="81">
        <f>I23</f>
        <v>31650.374784000003</v>
      </c>
      <c r="L24" s="280">
        <f>R$1</f>
        <v>0.06</v>
      </c>
      <c r="M24" s="229"/>
      <c r="N24" s="235"/>
      <c r="O24" s="221"/>
      <c r="Q24" s="226"/>
      <c r="R24" s="226"/>
      <c r="S24" s="226"/>
    </row>
    <row r="25" spans="1:23" ht="16.5" customHeight="1" x14ac:dyDescent="0.2">
      <c r="A25" s="38">
        <f>COUNTIF($J$1:J25,"!")</f>
        <v>4</v>
      </c>
      <c r="B25" s="234" t="s">
        <v>108</v>
      </c>
      <c r="C25" s="227"/>
      <c r="D25" s="65"/>
      <c r="E25" s="65"/>
      <c r="F25" s="65"/>
      <c r="G25" s="236"/>
      <c r="H25" s="42">
        <f>K25*L25</f>
        <v>0</v>
      </c>
      <c r="I25" s="72"/>
      <c r="J25" s="228"/>
      <c r="K25" s="81">
        <f>H24+K24</f>
        <v>33549.397271040005</v>
      </c>
      <c r="L25" s="280">
        <f>T$1</f>
        <v>0</v>
      </c>
      <c r="M25" s="229"/>
      <c r="O25" s="237"/>
      <c r="P25" s="225"/>
      <c r="Q25" s="226"/>
      <c r="T25" s="221"/>
    </row>
  </sheetData>
  <autoFilter ref="A1:M25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OFFSET(元件库!$B$1,MATCH(C2&amp;"*",元件库!$B:$B,0)-1,,COUNTIF(元件库!$B:$B,C2&amp;"*"))</xm:f>
          </x14:formula1>
          <xm:sqref>C2:C25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08"/>
  <dimension ref="A1:T6"/>
  <sheetViews>
    <sheetView workbookViewId="0">
      <pane ySplit="1" topLeftCell="A2" activePane="bottomLeft" state="frozen"/>
      <selection activeCell="C27" sqref="C27"/>
      <selection pane="bottomLeft" activeCell="I34" sqref="I34"/>
    </sheetView>
  </sheetViews>
  <sheetFormatPr defaultColWidth="7" defaultRowHeight="12" x14ac:dyDescent="0.2"/>
  <cols>
    <col min="1" max="1" width="3.625" style="25" customWidth="1"/>
    <col min="2" max="2" width="14.125" style="154" customWidth="1"/>
    <col min="3" max="3" width="21.625" style="26" customWidth="1"/>
    <col min="4" max="4" width="11.625" style="27" customWidth="1"/>
    <col min="5" max="6" width="4.125" style="27" customWidth="1"/>
    <col min="7" max="8" width="9.625" style="28" customWidth="1"/>
    <col min="9" max="9" width="14.625" style="29" customWidth="1"/>
    <col min="10" max="10" width="4.625" style="25" customWidth="1"/>
    <col min="11" max="11" width="8.125" style="28" customWidth="1"/>
    <col min="12" max="12" width="5.125" style="28" customWidth="1"/>
    <col min="13" max="13" width="8.125" style="28" customWidth="1"/>
    <col min="14" max="14" width="3.625" style="24" customWidth="1"/>
    <col min="15" max="15" width="4.625" style="24" customWidth="1"/>
    <col min="16" max="16" width="4.625" style="2" customWidth="1"/>
    <col min="17" max="17" width="4.625" style="24" customWidth="1"/>
    <col min="18" max="20" width="4.625" style="31" customWidth="1"/>
    <col min="21" max="23" width="4.625" style="30" customWidth="1"/>
    <col min="24" max="16384" width="7" style="30"/>
  </cols>
  <sheetData>
    <row r="1" spans="1:20" s="214" customFormat="1" ht="18" customHeight="1" x14ac:dyDescent="0.2">
      <c r="A1" s="380" t="s">
        <v>8</v>
      </c>
      <c r="B1" s="381" t="s">
        <v>9</v>
      </c>
      <c r="C1" s="382" t="s">
        <v>10</v>
      </c>
      <c r="D1" s="380" t="s">
        <v>3243</v>
      </c>
      <c r="E1" s="380" t="s">
        <v>13</v>
      </c>
      <c r="F1" s="380" t="s">
        <v>14</v>
      </c>
      <c r="G1" s="383" t="s">
        <v>77</v>
      </c>
      <c r="H1" s="383" t="s">
        <v>78</v>
      </c>
      <c r="I1" s="384" t="s">
        <v>17</v>
      </c>
      <c r="J1" s="385" t="s">
        <v>18</v>
      </c>
      <c r="K1" s="386" t="s">
        <v>19</v>
      </c>
      <c r="L1" s="386" t="s">
        <v>20</v>
      </c>
      <c r="M1" s="386" t="s">
        <v>21</v>
      </c>
      <c r="N1" s="388" t="s">
        <v>140</v>
      </c>
      <c r="O1" s="281" t="s">
        <v>18</v>
      </c>
      <c r="P1" s="282">
        <v>1.1200000000000001</v>
      </c>
      <c r="Q1" s="281" t="s">
        <v>2342</v>
      </c>
      <c r="R1" s="282">
        <v>0.06</v>
      </c>
      <c r="S1" s="282" t="s">
        <v>80</v>
      </c>
      <c r="T1" s="282">
        <v>0</v>
      </c>
    </row>
    <row r="2" spans="1:20" ht="16.5" customHeight="1" x14ac:dyDescent="0.15">
      <c r="A2" s="32">
        <f>COUNTIF($J$1:J2,"!")</f>
        <v>1</v>
      </c>
      <c r="B2" s="33" t="s">
        <v>2151</v>
      </c>
      <c r="C2" s="61" t="s">
        <v>175</v>
      </c>
      <c r="D2" s="35"/>
      <c r="E2" s="34" t="s">
        <v>48</v>
      </c>
      <c r="F2" s="35">
        <v>1</v>
      </c>
      <c r="G2" s="36">
        <f>ROUND(SUM(H3:H6),0)</f>
        <v>6767</v>
      </c>
      <c r="H2" s="37"/>
      <c r="I2" s="47"/>
      <c r="J2" s="48" t="s">
        <v>24</v>
      </c>
      <c r="K2" s="49"/>
      <c r="L2" s="50"/>
      <c r="M2" s="51"/>
      <c r="P2" s="24"/>
      <c r="Q2" s="31"/>
      <c r="T2" s="30"/>
    </row>
    <row r="3" spans="1:20" s="60" customFormat="1" ht="16.5" customHeight="1" x14ac:dyDescent="0.2">
      <c r="A3" s="38">
        <f>COUNTIF($J$1:J3,"!")</f>
        <v>1</v>
      </c>
      <c r="B3" s="39" t="str">
        <f>B2</f>
        <v>电缆分支箱</v>
      </c>
      <c r="C3" s="40"/>
      <c r="D3" s="101"/>
      <c r="E3" s="41" t="s">
        <v>23</v>
      </c>
      <c r="F3" s="41">
        <v>1</v>
      </c>
      <c r="G3" s="42">
        <f>IF(M3="","",IFERROR(J3*K3,""))</f>
        <v>6384.0000000000009</v>
      </c>
      <c r="H3" s="42">
        <f>IF(M3="","",IFERROR(F3*G3,""))</f>
        <v>6384.0000000000009</v>
      </c>
      <c r="J3" s="53">
        <f>P$1</f>
        <v>1.1200000000000001</v>
      </c>
      <c r="K3" s="54">
        <f>IFERROR(M3*L3,"")</f>
        <v>5700</v>
      </c>
      <c r="L3" s="55" t="str">
        <f>IFERROR(VLOOKUP(C3,元件库!$B:$O,10,FALSE),"1.00")</f>
        <v>1.00</v>
      </c>
      <c r="M3" s="56">
        <v>5700</v>
      </c>
      <c r="N3" s="57" t="str">
        <f t="shared" ref="N3:N4" ca="1" si="0">IF(AND(ISNUMBER(FIND("IF",_xlfn.FORMULATEXT(L3))),ISNUMBER(FIND("IF",_xlfn.FORMULATEXT(M3)))),"","值")</f>
        <v>值</v>
      </c>
      <c r="O3" s="30"/>
      <c r="P3" s="24"/>
    </row>
    <row r="4" spans="1:20" ht="16.5" customHeight="1" x14ac:dyDescent="0.2">
      <c r="A4" s="38">
        <f>COUNTIF($J$1:J4,"!")</f>
        <v>1</v>
      </c>
      <c r="B4" s="44" t="s">
        <v>107</v>
      </c>
      <c r="C4" s="43"/>
      <c r="D4" s="41"/>
      <c r="E4" s="41"/>
      <c r="F4" s="41"/>
      <c r="G4" s="42"/>
      <c r="H4" s="42"/>
      <c r="I4" s="58">
        <f>SUM(H2:H4)</f>
        <v>6384.0000000000009</v>
      </c>
      <c r="J4" s="53"/>
      <c r="K4" s="54"/>
      <c r="L4" s="55"/>
      <c r="M4" s="56"/>
      <c r="N4" s="57" t="str">
        <f t="shared" ca="1" si="0"/>
        <v>值</v>
      </c>
      <c r="O4" s="30"/>
      <c r="P4" s="31"/>
      <c r="Q4" s="30"/>
      <c r="T4" s="30"/>
    </row>
    <row r="5" spans="1:20" s="24" customFormat="1" ht="16.5" customHeight="1" x14ac:dyDescent="0.2">
      <c r="A5" s="38">
        <f>COUNTIF($J$1:J5,"!")</f>
        <v>1</v>
      </c>
      <c r="B5" s="45" t="s">
        <v>79</v>
      </c>
      <c r="C5" s="43"/>
      <c r="D5" s="41"/>
      <c r="E5" s="41"/>
      <c r="F5" s="41"/>
      <c r="G5" s="42"/>
      <c r="H5" s="42">
        <f>K5*L5</f>
        <v>383.04</v>
      </c>
      <c r="I5" s="52"/>
      <c r="J5" s="53"/>
      <c r="K5" s="54">
        <f>I4</f>
        <v>6384.0000000000009</v>
      </c>
      <c r="L5" s="278">
        <f>R$1</f>
        <v>0.06</v>
      </c>
      <c r="M5" s="56"/>
      <c r="N5" s="62"/>
      <c r="O5" s="30"/>
      <c r="Q5" s="31"/>
      <c r="R5" s="31"/>
      <c r="S5" s="31"/>
    </row>
    <row r="6" spans="1:20" ht="16.5" customHeight="1" x14ac:dyDescent="0.2">
      <c r="A6" s="38">
        <f>COUNTIF($J$1:J6,"!")</f>
        <v>1</v>
      </c>
      <c r="B6" s="45" t="s">
        <v>108</v>
      </c>
      <c r="C6" s="43"/>
      <c r="D6" s="41"/>
      <c r="E6" s="41"/>
      <c r="F6" s="41"/>
      <c r="G6" s="46"/>
      <c r="H6" s="42">
        <f>K6*L6</f>
        <v>0</v>
      </c>
      <c r="I6" s="52"/>
      <c r="J6" s="53"/>
      <c r="K6" s="54">
        <f>H5+K5</f>
        <v>6767.0400000000009</v>
      </c>
      <c r="L6" s="278">
        <f>T$1</f>
        <v>0</v>
      </c>
      <c r="M6" s="56"/>
      <c r="O6" s="2"/>
      <c r="P6" s="24"/>
      <c r="Q6" s="31"/>
      <c r="T6" s="30"/>
    </row>
  </sheetData>
  <autoFilter ref="A1:M6"/>
  <phoneticPr fontId="25" type="noConversion"/>
  <pageMargins left="0.39370078740157499" right="0.39370078740157499" top="0.59055118110236204" bottom="0.59055118110236204" header="0.31496062992126" footer="0.31496062992126"/>
  <pageSetup paperSize="9" orientation="portrait" cellComments="atEnd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OFFSET(元件库!$B$1,MATCH(C3&amp;"*",元件库!$B:$B,0)-1,,COUNTIF(元件库!$B:$B,C3&amp;"*"))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12</vt:i4>
      </vt:variant>
    </vt:vector>
  </HeadingPairs>
  <TitlesOfParts>
    <vt:vector size="30" baseType="lpstr">
      <vt:lpstr>包1</vt:lpstr>
      <vt:lpstr>35KV高压</vt:lpstr>
      <vt:lpstr>高压电容柜</vt:lpstr>
      <vt:lpstr>高压开闭所</vt:lpstr>
      <vt:lpstr>共箱式充气柜</vt:lpstr>
      <vt:lpstr>预装式变电站</vt:lpstr>
      <vt:lpstr>10KV高压</vt:lpstr>
      <vt:lpstr>配套设备</vt:lpstr>
      <vt:lpstr>电缆分支箱</vt:lpstr>
      <vt:lpstr>组合式变压器</vt:lpstr>
      <vt:lpstr>变压器</vt:lpstr>
      <vt:lpstr>0.4KV低压</vt:lpstr>
      <vt:lpstr>配电箱</vt:lpstr>
      <vt:lpstr>设备报价表</vt:lpstr>
      <vt:lpstr>箱变报价表</vt:lpstr>
      <vt:lpstr>国网箱变报价表</vt:lpstr>
      <vt:lpstr>国网报价表</vt:lpstr>
      <vt:lpstr>元件库</vt:lpstr>
      <vt:lpstr>'0.4KV低压'!Print_Titles</vt:lpstr>
      <vt:lpstr>'10KV高压'!Print_Titles</vt:lpstr>
      <vt:lpstr>'35KV高压'!Print_Titles</vt:lpstr>
      <vt:lpstr>变压器!Print_Titles</vt:lpstr>
      <vt:lpstr>电缆分支箱!Print_Titles</vt:lpstr>
      <vt:lpstr>高压电容柜!Print_Titles</vt:lpstr>
      <vt:lpstr>高压开闭所!Print_Titles</vt:lpstr>
      <vt:lpstr>共箱式充气柜!Print_Titles</vt:lpstr>
      <vt:lpstr>配电箱!Print_Titles</vt:lpstr>
      <vt:lpstr>配套设备!Print_Titles</vt:lpstr>
      <vt:lpstr>预装式变电站!Print_Titles</vt:lpstr>
      <vt:lpstr>组合式变压器!Print_Titles</vt:lpstr>
    </vt:vector>
  </TitlesOfParts>
  <Company>天美电气有限公司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报价单</dc:title>
  <dc:creator>叶 勤武</dc:creator>
  <cp:lastModifiedBy>yqw</cp:lastModifiedBy>
  <cp:revision>20180301001</cp:revision>
  <cp:lastPrinted>2018-08-17T03:17:58Z</cp:lastPrinted>
  <dcterms:created xsi:type="dcterms:W3CDTF">2015-06-05T18:19:00Z</dcterms:created>
  <dcterms:modified xsi:type="dcterms:W3CDTF">2019-01-07T02:59:37Z</dcterms:modified>
  <cp:version>beta5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