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 codeName="ЭтаКнига" defaultThemeVersion="124226"/>
  <xr:revisionPtr revIDLastSave="0" documentId="8_{A4B94E96-E120-4942-B6E4-257C72E26AD9}" xr6:coauthVersionLast="47" xr6:coauthVersionMax="47" xr10:uidLastSave="{00000000-0000-0000-0000-000000000000}"/>
  <bookViews>
    <workbookView xWindow="0" yWindow="500" windowWidth="28800" windowHeight="16000" tabRatio="621" firstSheet="1" activeTab="2" xr2:uid="{00000000-000D-0000-FFFF-FFFF00000000}"/>
  </bookViews>
  <sheets>
    <sheet name="ДЗ" sheetId="11" r:id="rId1"/>
    <sheet name="Calculation" sheetId="2" r:id="rId2"/>
    <sheet name="Rate&amp;Ratio" sheetId="12" r:id="rId3"/>
    <sheet name="Лист1" sheetId="10" state="hidden" r:id="rId4"/>
  </sheets>
  <definedNames>
    <definedName name="ВПОДК">#REF!</definedName>
    <definedName name="accnt_act">Calculation!$C$43:$AA$43</definedName>
    <definedName name="accnt_b_def">Calculation!$C$49:$AA$49</definedName>
    <definedName name="accnt_b_res">Calculation!$C$49:$AA$49</definedName>
    <definedName name="accnt_clo">Calculation!$C$46:$XFD$46</definedName>
    <definedName name="accnt_cur">Calculation!$C$44:$XFD$44</definedName>
    <definedName name="accnt_DEF">Calculation!$C$47:$AA$47</definedName>
    <definedName name="accnt_dlq">Calculation!$C$45:$XFD$45</definedName>
    <definedName name="accnt_wro">Calculation!$C$47:$XFD$47</definedName>
    <definedName name="assets">Calculation!$C$89:$AA$89</definedName>
    <definedName name="AT1_all_curve">#REF!</definedName>
    <definedName name="AT1_curve">#REF!</definedName>
    <definedName name="At1_int_rate">#REF!</definedName>
    <definedName name="AT1_req">Calculation!$C$92:$AA$92</definedName>
    <definedName name="AT1_req_chng">Calculation!#REF!</definedName>
    <definedName name="Cap_Curve">#REF!</definedName>
    <definedName name="Cap_Curve_H1.0">#REF!</definedName>
    <definedName name="capital_bal">Calculation!#REF!</definedName>
    <definedName name="Capital_balance">Calculation!#REF!</definedName>
    <definedName name="Capital_req">Calculation!#REF!</definedName>
    <definedName name="CapR_curve">#REF!</definedName>
    <definedName name="CapR_fix_H1.0">#REF!</definedName>
    <definedName name="Cash_flow_to_Client">Calculation!$C$102:$AA$102</definedName>
    <definedName name="CFtB">Calculation!$C$103:$AA$103</definedName>
    <definedName name="CFtC">Calculation!$C$102:$AA$102</definedName>
    <definedName name="CFtCT">Calculation!$C$104:$AA$104</definedName>
    <definedName name="CFtP">Calculation!#REF!</definedName>
    <definedName name="CFtS">Calculation!$C$105:$AA$105</definedName>
    <definedName name="CLO_Rate">Calculation!$C$37:$AA$37</definedName>
    <definedName name="clo_rate_curve">#REF!</definedName>
    <definedName name="coeff_discount">Calculation!$C$100:$AA$100</definedName>
    <definedName name="coeff_lim">#REF!</definedName>
    <definedName name="CoF">Calculation!$C$19</definedName>
    <definedName name="COF_rate">#REF!</definedName>
    <definedName name="collect_cost">Calculation!$C$78:$AA$78</definedName>
    <definedName name="collection_cost">Calculation!$C$26</definedName>
    <definedName name="comission_rate">#REF!</definedName>
    <definedName name="Cost_of_AT1">Calculation!$C$76:$AA$76</definedName>
    <definedName name="Cost_of_Funds">Calculation!$C$76:$AA$76</definedName>
    <definedName name="cost_tax">Calculation!$C$104:$AA$104</definedName>
    <definedName name="cred_fee">#REF!</definedName>
    <definedName name="Credit_Fee">Calculation!#REF!</definedName>
    <definedName name="Cumulative_PV">Calculation!$C$108:$AA$108</definedName>
    <definedName name="DEF_Rate">Calculation!$C$35:$AA$35</definedName>
    <definedName name="disc_loss">Calculation!#REF!</definedName>
    <definedName name="discount_rate">Calculation!$C$21</definedName>
    <definedName name="discount_rate_month">Calculation!$B$101</definedName>
    <definedName name="dlnq_collection_cost">#REF!</definedName>
    <definedName name="DLNQ_Rate">Calculation!$C$36:$AA$36</definedName>
    <definedName name="DLNQ_Ratio">Calculation!$C$36:$AA$36</definedName>
    <definedName name="dlq_ratio_curve">#REF!</definedName>
    <definedName name="dlq_to_notdlq_curve">#REF!</definedName>
    <definedName name="Eq_req">Calculation!$C$91:$AA$91</definedName>
    <definedName name="Eq_req_chng">Calculation!$C$96:$AA$96</definedName>
    <definedName name="EqR_curve">#REF!</definedName>
    <definedName name="EqR_curve_H1.0">#REF!</definedName>
    <definedName name="EqR_fix_H1.1">#REF!</definedName>
    <definedName name="EqR_total_H1.0">#REF!</definedName>
    <definedName name="EqR_total_H1.1">#REF!</definedName>
    <definedName name="Equity_Req">Calculation!$C$22</definedName>
    <definedName name="erv">#REF!</definedName>
    <definedName name="erw">#REF!</definedName>
    <definedName name="flow_to_sharehold">Calculation!$C$105:$AA$105</definedName>
    <definedName name="Fund_req">Calculation!$C$92:$AA$92</definedName>
    <definedName name="Fund_req_chng">Calculation!$C$97:$AA$97</definedName>
    <definedName name="GB_act">Calculation!$C$62:$XFD$62</definedName>
    <definedName name="GB_cur">Calculation!$C$63:$XFD$63</definedName>
    <definedName name="GB_DEF">Calculation!$C$65:$AA$65</definedName>
    <definedName name="GB_dlq">Calculation!$C$64:$XFD$64</definedName>
    <definedName name="Gross_Expenses">Calculation!$C$73:$AA$73</definedName>
    <definedName name="Gross_Loss">Calculation!$C$74:$AA$74</definedName>
    <definedName name="Gross_profit">Calculation!$C$68:$AA$68</definedName>
    <definedName name="Gross_Revenue">Calculation!$C$68:$AA$68</definedName>
    <definedName name="Income">Calculation!#REF!</definedName>
    <definedName name="Income_comulative">Calculation!#REF!</definedName>
    <definedName name="Income_total">Calculation!#REF!</definedName>
    <definedName name="initial_amount">Calculation!$C$10</definedName>
    <definedName name="initial_term">Calculation!$C$11</definedName>
    <definedName name="ins">Calculation!$C$16</definedName>
    <definedName name="ins_ratio">Calculation!$C$38:$AA$38</definedName>
    <definedName name="int_model">Calculation!$C$53:$AA$53</definedName>
    <definedName name="int_rate">#REF!</definedName>
    <definedName name="interest">Calculation!$C$69:$AA$69</definedName>
    <definedName name="interest_rate">Calculation!$C$15</definedName>
    <definedName name="Loan_Loss">Calculation!$C$75:$AA$75</definedName>
    <definedName name="logit">#REF!</definedName>
    <definedName name="manual_CLO_rate">#REF!</definedName>
    <definedName name="manual_DLQ_ratio">#REF!</definedName>
    <definedName name="manual_insurance_ratio">#REF!</definedName>
    <definedName name="manual_miss_rep_cnt">#REF!</definedName>
    <definedName name="manual_ovd_fee_cnt">#REF!</definedName>
    <definedName name="manual_WRO_rate">#REF!</definedName>
    <definedName name="mean_pd_bucket">#REF!</definedName>
    <definedName name="miss_rep_cnt_dlq_curve">#REF!</definedName>
    <definedName name="Net_Income_Atax">Calculation!$C$86:$AA$86</definedName>
    <definedName name="Net_Income_Bax">Calculation!$C$84:$AA$84</definedName>
    <definedName name="next" localSheetId="1">Calculation!B:B</definedName>
    <definedName name="next_">#REF!</definedName>
    <definedName name="NPV">#REF!</definedName>
    <definedName name="Oper_Cash_Flow">Calculation!#REF!</definedName>
    <definedName name="oper_cost">Calculation!$C$25</definedName>
    <definedName name="Oper_Risk_Bal">Calculation!#REF!</definedName>
    <definedName name="oper_risk_loss">Calculation!#REF!</definedName>
    <definedName name="Operation_cost">Calculation!$C$77:$AA$77</definedName>
    <definedName name="operational_cost">Calculation!$C$77:$AA$77</definedName>
    <definedName name="OperRisk_Disc_loss">Calculation!#REF!</definedName>
    <definedName name="ovd_fee_cnt_curve">#REF!</definedName>
    <definedName name="overdue_fee">Calculation!$C$70:$AA$70</definedName>
    <definedName name="payment_channel_cost">#REF!</definedName>
    <definedName name="PB">Calculation!$C$52:$AA$52</definedName>
    <definedName name="PB_act">Calculation!$C$56:$AA$56</definedName>
    <definedName name="PB_cur">Calculation!$C$57:$AA$57</definedName>
    <definedName name="PB_def">Calculation!$C$59:$AA$59</definedName>
    <definedName name="PB_dlq">Calculation!$C$58:$AA$58</definedName>
    <definedName name="PB_model">Calculation!$C$52:$AA$52</definedName>
    <definedName name="pclo">Calculation!$C$9</definedName>
    <definedName name="pd">Calculation!$C$8</definedName>
    <definedName name="pd_bucket_max">#REF!</definedName>
    <definedName name="pd_clbr">#REF!</definedName>
    <definedName name="perp_int_rate">#REF!</definedName>
    <definedName name="Perp_Serv">Calculation!$C$76:$AA$76</definedName>
    <definedName name="pmnt_fee">Calculation!#REF!</definedName>
    <definedName name="prev">Calculation!XFD:XFD</definedName>
    <definedName name="prev_">Calculation!XFA:XFA</definedName>
    <definedName name="prrr">#REF!</definedName>
    <definedName name="PV">Calculation!$B$105</definedName>
    <definedName name="px">Calculation!$C$9</definedName>
    <definedName name="recov">Calculation!$C$70:$AA$70</definedName>
    <definedName name="recovery">Calculation!$C$27</definedName>
    <definedName name="Recovery_disc">#REF!</definedName>
    <definedName name="regaular_repayment">#REF!</definedName>
    <definedName name="regular_payment">Calculation!$C$12</definedName>
    <definedName name="repayment">Calculation!$C$81:$AA$81</definedName>
    <definedName name="rv">#REF!</definedName>
    <definedName name="rw">#REF!</definedName>
    <definedName name="shareholders">Calculation!$C$105:$AA$105</definedName>
    <definedName name="statement_no">Calculation!$C$42:$AA$42</definedName>
    <definedName name="sum">#REF!</definedName>
    <definedName name="Tax">Calculation!$C$85:$AA$85</definedName>
    <definedName name="tax_rate">Calculation!$C$20</definedName>
    <definedName name="term">#REF!</definedName>
    <definedName name="to_bondholders">Calculation!$C$103:$AA$103</definedName>
    <definedName name="wro_rate_curve">#REF!</definedName>
  </definedNames>
  <calcPr calcId="191028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8" i="12" l="1"/>
  <c r="I115" i="2"/>
  <c r="I116" i="2"/>
  <c r="H116" i="2"/>
  <c r="H115" i="2"/>
  <c r="B5" i="12"/>
  <c r="B4" i="12"/>
  <c r="B101" i="2"/>
  <c r="E13" i="10"/>
  <c r="F13" i="10"/>
  <c r="F12" i="10"/>
  <c r="E12" i="10"/>
  <c r="O18" i="12" l="1"/>
  <c r="O29" i="12"/>
  <c r="E34" i="12"/>
  <c r="E24" i="12"/>
  <c r="J29" i="12"/>
  <c r="J13" i="12"/>
  <c r="O34" i="12"/>
  <c r="O10" i="12"/>
  <c r="O23" i="12"/>
  <c r="O19" i="12"/>
  <c r="O26" i="12"/>
  <c r="O13" i="12"/>
  <c r="O27" i="12"/>
  <c r="O31" i="12"/>
  <c r="O21" i="12"/>
  <c r="O11" i="12"/>
  <c r="O15" i="12"/>
  <c r="J24" i="12"/>
  <c r="J14" i="12"/>
  <c r="E25" i="12"/>
  <c r="J30" i="12"/>
  <c r="E21" i="12"/>
  <c r="E10" i="12"/>
  <c r="E11" i="12"/>
  <c r="J32" i="12"/>
  <c r="J10" i="12"/>
  <c r="J26" i="12"/>
  <c r="E16" i="12"/>
  <c r="J21" i="12"/>
  <c r="E32" i="12"/>
  <c r="J16" i="12"/>
  <c r="E27" i="12"/>
  <c r="E17" i="12"/>
  <c r="J22" i="12"/>
  <c r="E33" i="12"/>
  <c r="E19" i="12"/>
  <c r="E13" i="12"/>
  <c r="J18" i="12"/>
  <c r="E29" i="12"/>
  <c r="J34" i="12"/>
  <c r="J11" i="12"/>
  <c r="E14" i="12"/>
  <c r="O16" i="12"/>
  <c r="J19" i="12"/>
  <c r="E22" i="12"/>
  <c r="O24" i="12"/>
  <c r="J27" i="12"/>
  <c r="E30" i="12"/>
  <c r="O32" i="12"/>
  <c r="E12" i="12"/>
  <c r="O14" i="12"/>
  <c r="J17" i="12"/>
  <c r="E20" i="12"/>
  <c r="O22" i="12"/>
  <c r="J25" i="12"/>
  <c r="E28" i="12"/>
  <c r="O30" i="12"/>
  <c r="J33" i="12"/>
  <c r="J12" i="12"/>
  <c r="E15" i="12"/>
  <c r="O17" i="12"/>
  <c r="J20" i="12"/>
  <c r="E23" i="12"/>
  <c r="O25" i="12"/>
  <c r="J28" i="12"/>
  <c r="E31" i="12"/>
  <c r="O33" i="12"/>
  <c r="O12" i="12"/>
  <c r="J15" i="12"/>
  <c r="E18" i="12"/>
  <c r="O20" i="12"/>
  <c r="J23" i="12"/>
  <c r="E26" i="12"/>
  <c r="J31" i="12"/>
  <c r="E75" i="2"/>
  <c r="F75" i="2"/>
  <c r="D75" i="2"/>
  <c r="B38" i="12" l="1" a="1"/>
  <c r="B38" i="12" s="1"/>
  <c r="C37" i="2" s="1"/>
  <c r="B37" i="12" a="1"/>
  <c r="B37" i="12" s="1"/>
  <c r="C36" i="2" s="1"/>
  <c r="B36" i="12" a="1"/>
  <c r="C64" i="2"/>
  <c r="C69" i="2"/>
  <c r="C68" i="2" s="1"/>
  <c r="C58" i="2"/>
  <c r="D78" i="2"/>
  <c r="C77" i="2"/>
  <c r="E70" i="2"/>
  <c r="F70" i="2"/>
  <c r="D70" i="2"/>
  <c r="C12" i="2"/>
  <c r="C52" i="2"/>
  <c r="I37" i="2" l="1"/>
  <c r="D37" i="2"/>
  <c r="Q37" i="2"/>
  <c r="P37" i="2"/>
  <c r="V37" i="2"/>
  <c r="N37" i="2"/>
  <c r="W37" i="2"/>
  <c r="F37" i="2"/>
  <c r="G37" i="2"/>
  <c r="M37" i="2"/>
  <c r="U37" i="2"/>
  <c r="T37" i="2"/>
  <c r="E37" i="2"/>
  <c r="S37" i="2"/>
  <c r="K37" i="2"/>
  <c r="Q36" i="2"/>
  <c r="Y37" i="2"/>
  <c r="X37" i="2"/>
  <c r="Z37" i="2"/>
  <c r="R37" i="2"/>
  <c r="H37" i="2"/>
  <c r="U36" i="2"/>
  <c r="S36" i="2"/>
  <c r="K36" i="2"/>
  <c r="AA36" i="2"/>
  <c r="V36" i="2"/>
  <c r="O36" i="2"/>
  <c r="L37" i="2"/>
  <c r="O37" i="2"/>
  <c r="J37" i="2"/>
  <c r="M36" i="2"/>
  <c r="G36" i="2"/>
  <c r="I36" i="2"/>
  <c r="E36" i="2"/>
  <c r="W36" i="2"/>
  <c r="T36" i="2"/>
  <c r="Y36" i="2"/>
  <c r="F36" i="2"/>
  <c r="H36" i="2"/>
  <c r="N36" i="2"/>
  <c r="L36" i="2"/>
  <c r="Z36" i="2"/>
  <c r="X36" i="2"/>
  <c r="D36" i="2"/>
  <c r="J36" i="2"/>
  <c r="R36" i="2"/>
  <c r="P36" i="2"/>
  <c r="B36" i="12"/>
  <c r="C35" i="2" s="1"/>
  <c r="J35" i="2"/>
  <c r="R35" i="2"/>
  <c r="Z35" i="2"/>
  <c r="K35" i="2"/>
  <c r="S35" i="2"/>
  <c r="AA35" i="2"/>
  <c r="M35" i="2"/>
  <c r="U35" i="2"/>
  <c r="N35" i="2"/>
  <c r="O35" i="2"/>
  <c r="D35" i="2"/>
  <c r="L35" i="2"/>
  <c r="T35" i="2"/>
  <c r="E35" i="2"/>
  <c r="F35" i="2"/>
  <c r="V35" i="2"/>
  <c r="G35" i="2"/>
  <c r="W35" i="2"/>
  <c r="H35" i="2"/>
  <c r="P35" i="2"/>
  <c r="X35" i="2"/>
  <c r="I35" i="2"/>
  <c r="Q35" i="2"/>
  <c r="Y35" i="2"/>
  <c r="D53" i="2"/>
  <c r="D52" i="2" s="1"/>
  <c r="C63" i="2"/>
  <c r="C57" i="2"/>
  <c r="C56" i="2" s="1"/>
  <c r="D69" i="2" s="1"/>
  <c r="E53" i="2" l="1"/>
  <c r="C76" i="2" l="1"/>
  <c r="C75" i="2" l="1"/>
  <c r="C74" i="2" s="1"/>
  <c r="C53" i="2"/>
  <c r="C100" i="2" l="1"/>
  <c r="S100" i="2" l="1"/>
  <c r="AA100" i="2"/>
  <c r="Q100" i="2"/>
  <c r="Z100" i="2"/>
  <c r="T100" i="2"/>
  <c r="V100" i="2"/>
  <c r="U100" i="2"/>
  <c r="Y100" i="2"/>
  <c r="R100" i="2"/>
  <c r="W100" i="2"/>
  <c r="P100" i="2"/>
  <c r="X100" i="2"/>
  <c r="D100" i="2"/>
  <c r="O100" i="2"/>
  <c r="J100" i="2"/>
  <c r="K100" i="2"/>
  <c r="L100" i="2"/>
  <c r="M100" i="2"/>
  <c r="N100" i="2"/>
  <c r="C43" i="2" l="1"/>
  <c r="D47" i="2" l="1"/>
  <c r="D77" i="2"/>
  <c r="D46" i="2"/>
  <c r="C81" i="2"/>
  <c r="C102" i="2" s="1"/>
  <c r="I100" i="2"/>
  <c r="G100" i="2"/>
  <c r="E100" i="2"/>
  <c r="H100" i="2"/>
  <c r="F100" i="2"/>
  <c r="D43" i="2" l="1"/>
  <c r="D45" i="2" s="1"/>
  <c r="D64" i="2" s="1"/>
  <c r="D49" i="2"/>
  <c r="C84" i="2"/>
  <c r="C85" i="2" s="1"/>
  <c r="E47" i="2" l="1"/>
  <c r="E49" i="2" s="1"/>
  <c r="D58" i="2"/>
  <c r="C86" i="2"/>
  <c r="C104" i="2"/>
  <c r="E77" i="2"/>
  <c r="E46" i="2"/>
  <c r="E78" i="2" l="1"/>
  <c r="D44" i="2"/>
  <c r="D63" i="2" l="1"/>
  <c r="D57" i="2"/>
  <c r="D56" i="2" s="1"/>
  <c r="E69" i="2" s="1"/>
  <c r="E43" i="2"/>
  <c r="F77" i="2" l="1"/>
  <c r="F47" i="2"/>
  <c r="F49" i="2" s="1"/>
  <c r="E45" i="2"/>
  <c r="F46" i="2"/>
  <c r="E58" i="2" l="1"/>
  <c r="F78" i="2"/>
  <c r="E44" i="2"/>
  <c r="F43" i="2" l="1"/>
  <c r="G77" i="2" l="1"/>
  <c r="G47" i="2"/>
  <c r="G49" i="2" s="1"/>
  <c r="G59" i="2" s="1"/>
  <c r="F45" i="2"/>
  <c r="G46" i="2"/>
  <c r="G78" i="2" l="1"/>
  <c r="F44" i="2"/>
  <c r="G43" i="2" l="1"/>
  <c r="H77" i="2" l="1"/>
  <c r="H47" i="2"/>
  <c r="G45" i="2"/>
  <c r="H46" i="2"/>
  <c r="H78" i="2" l="1"/>
  <c r="H49" i="2"/>
  <c r="G44" i="2"/>
  <c r="H43" i="2"/>
  <c r="I77" i="2" l="1"/>
  <c r="I47" i="2"/>
  <c r="I49" i="2" s="1"/>
  <c r="H59" i="2"/>
  <c r="H45" i="2"/>
  <c r="I46" i="2"/>
  <c r="I78" i="2" l="1"/>
  <c r="H44" i="2"/>
  <c r="I43" i="2" l="1"/>
  <c r="J77" i="2" l="1"/>
  <c r="J47" i="2"/>
  <c r="J49" i="2" s="1"/>
  <c r="I45" i="2"/>
  <c r="J46" i="2"/>
  <c r="J78" i="2" l="1"/>
  <c r="I44" i="2"/>
  <c r="J43" i="2"/>
  <c r="K77" i="2" l="1"/>
  <c r="K47" i="2"/>
  <c r="K49" i="2" s="1"/>
  <c r="J45" i="2"/>
  <c r="K46" i="2"/>
  <c r="K78" i="2" l="1"/>
  <c r="J44" i="2"/>
  <c r="K43" i="2"/>
  <c r="L77" i="2" l="1"/>
  <c r="L47" i="2"/>
  <c r="L49" i="2" s="1"/>
  <c r="K45" i="2"/>
  <c r="L46" i="2"/>
  <c r="L78" i="2" l="1"/>
  <c r="K44" i="2"/>
  <c r="L43" i="2"/>
  <c r="M77" i="2" l="1"/>
  <c r="M47" i="2"/>
  <c r="M49" i="2" s="1"/>
  <c r="L45" i="2"/>
  <c r="M46" i="2"/>
  <c r="M78" i="2" l="1"/>
  <c r="L44" i="2"/>
  <c r="M43" i="2"/>
  <c r="N77" i="2" l="1"/>
  <c r="N47" i="2"/>
  <c r="N49" i="2" s="1"/>
  <c r="M45" i="2"/>
  <c r="N46" i="2"/>
  <c r="N78" i="2" l="1"/>
  <c r="M44" i="2"/>
  <c r="N43" i="2"/>
  <c r="O47" i="2" s="1"/>
  <c r="O77" i="2" l="1"/>
  <c r="O49" i="2"/>
  <c r="N45" i="2"/>
  <c r="O46" i="2"/>
  <c r="O78" i="2" l="1"/>
  <c r="N44" i="2"/>
  <c r="O43" i="2" l="1"/>
  <c r="P77" i="2" l="1"/>
  <c r="P47" i="2"/>
  <c r="P49" i="2" s="1"/>
  <c r="O45" i="2"/>
  <c r="P46" i="2"/>
  <c r="P78" i="2" l="1"/>
  <c r="O44" i="2"/>
  <c r="P43" i="2"/>
  <c r="Q47" i="2" s="1"/>
  <c r="Q77" i="2" l="1"/>
  <c r="P45" i="2"/>
  <c r="Q46" i="2"/>
  <c r="Q49" i="2"/>
  <c r="Q78" i="2" l="1"/>
  <c r="P44" i="2"/>
  <c r="Q43" i="2"/>
  <c r="R47" i="2" s="1"/>
  <c r="R77" i="2" l="1"/>
  <c r="R46" i="2"/>
  <c r="R49" i="2"/>
  <c r="Q45" i="2"/>
  <c r="R78" i="2" l="1"/>
  <c r="Q44" i="2"/>
  <c r="R43" i="2"/>
  <c r="S47" i="2" s="1"/>
  <c r="R45" i="2" l="1"/>
  <c r="S77" i="2"/>
  <c r="S46" i="2"/>
  <c r="S49" i="2"/>
  <c r="S78" i="2" l="1"/>
  <c r="R44" i="2"/>
  <c r="S43" i="2"/>
  <c r="T47" i="2" s="1"/>
  <c r="S45" i="2" l="1"/>
  <c r="T77" i="2"/>
  <c r="T49" i="2"/>
  <c r="T46" i="2"/>
  <c r="T78" i="2" l="1"/>
  <c r="S44" i="2"/>
  <c r="T43" i="2"/>
  <c r="U47" i="2" s="1"/>
  <c r="U49" i="2" l="1"/>
  <c r="U77" i="2"/>
  <c r="T45" i="2"/>
  <c r="U46" i="2"/>
  <c r="U78" i="2" l="1"/>
  <c r="U43" i="2"/>
  <c r="T44" i="2"/>
  <c r="V46" i="2" l="1"/>
  <c r="V47" i="2"/>
  <c r="V49" i="2" s="1"/>
  <c r="U45" i="2"/>
  <c r="V77" i="2"/>
  <c r="V78" i="2" l="1"/>
  <c r="U44" i="2"/>
  <c r="V43" i="2"/>
  <c r="V45" i="2" l="1"/>
  <c r="W47" i="2"/>
  <c r="W49" i="2" s="1"/>
  <c r="W46" i="2"/>
  <c r="W77" i="2"/>
  <c r="W78" i="2" l="1"/>
  <c r="V44" i="2"/>
  <c r="W43" i="2"/>
  <c r="W45" i="2" l="1"/>
  <c r="X47" i="2"/>
  <c r="X49" i="2" s="1"/>
  <c r="X77" i="2"/>
  <c r="X46" i="2"/>
  <c r="W44" i="2" l="1"/>
  <c r="X78" i="2"/>
  <c r="X43" i="2"/>
  <c r="Y77" i="2" l="1"/>
  <c r="Y47" i="2"/>
  <c r="Y49" i="2" s="1"/>
  <c r="Y46" i="2"/>
  <c r="X45" i="2"/>
  <c r="X44" i="2" l="1"/>
  <c r="Y78" i="2"/>
  <c r="Y43" i="2"/>
  <c r="Y45" i="2" l="1"/>
  <c r="Z47" i="2"/>
  <c r="Z49" i="2" s="1"/>
  <c r="Z46" i="2"/>
  <c r="Z77" i="2"/>
  <c r="Z78" i="2" l="1"/>
  <c r="Y44" i="2"/>
  <c r="Z43" i="2"/>
  <c r="Z45" i="2" l="1"/>
  <c r="AA47" i="2"/>
  <c r="AA49" i="2" s="1"/>
  <c r="AA77" i="2"/>
  <c r="Z44" i="2" l="1"/>
  <c r="AA78" i="2"/>
  <c r="E52" i="2" l="1"/>
  <c r="F53" i="2" l="1"/>
  <c r="F52" i="2" s="1"/>
  <c r="F64" i="2" s="1"/>
  <c r="E64" i="2"/>
  <c r="I59" i="2"/>
  <c r="F58" i="2"/>
  <c r="E63" i="2"/>
  <c r="E57" i="2"/>
  <c r="E56" i="2" s="1"/>
  <c r="F69" i="2" s="1"/>
  <c r="F63" i="2" l="1"/>
  <c r="G58" i="2"/>
  <c r="J59" i="2"/>
  <c r="F57" i="2"/>
  <c r="G53" i="2"/>
  <c r="F56" i="2" l="1"/>
  <c r="G69" i="2" s="1"/>
  <c r="G52" i="2"/>
  <c r="G65" i="2" l="1"/>
  <c r="G75" i="2" s="1"/>
  <c r="G64" i="2"/>
  <c r="G63" i="2"/>
  <c r="H58" i="2"/>
  <c r="K59" i="2"/>
  <c r="G57" i="2"/>
  <c r="H53" i="2"/>
  <c r="G70" i="2" l="1"/>
  <c r="G56" i="2"/>
  <c r="H69" i="2" s="1"/>
  <c r="H52" i="2"/>
  <c r="H65" i="2" s="1"/>
  <c r="H75" i="2" l="1"/>
  <c r="H64" i="2"/>
  <c r="H63" i="2"/>
  <c r="I58" i="2"/>
  <c r="L59" i="2"/>
  <c r="H57" i="2"/>
  <c r="I53" i="2"/>
  <c r="H70" i="2" l="1"/>
  <c r="H56" i="2"/>
  <c r="I69" i="2" s="1"/>
  <c r="I52" i="2"/>
  <c r="I65" i="2" s="1"/>
  <c r="I75" i="2" l="1"/>
  <c r="I64" i="2"/>
  <c r="I63" i="2"/>
  <c r="J58" i="2"/>
  <c r="M59" i="2"/>
  <c r="I57" i="2"/>
  <c r="J53" i="2"/>
  <c r="I70" i="2" l="1"/>
  <c r="J52" i="2"/>
  <c r="J65" i="2" s="1"/>
  <c r="I56" i="2"/>
  <c r="J69" i="2" s="1"/>
  <c r="J75" i="2" l="1"/>
  <c r="J64" i="2"/>
  <c r="J57" i="2"/>
  <c r="J56" i="2" s="1"/>
  <c r="K69" i="2" s="1"/>
  <c r="N59" i="2"/>
  <c r="K58" i="2"/>
  <c r="J63" i="2"/>
  <c r="K53" i="2"/>
  <c r="K52" i="2" s="1"/>
  <c r="K65" i="2" s="1"/>
  <c r="J70" i="2" l="1"/>
  <c r="K75" i="2"/>
  <c r="K64" i="2"/>
  <c r="K63" i="2"/>
  <c r="L58" i="2"/>
  <c r="O59" i="2"/>
  <c r="K57" i="2"/>
  <c r="L53" i="2"/>
  <c r="K70" i="2" l="1"/>
  <c r="K56" i="2"/>
  <c r="L69" i="2" s="1"/>
  <c r="L52" i="2"/>
  <c r="L65" i="2" s="1"/>
  <c r="L75" i="2" l="1"/>
  <c r="L64" i="2"/>
  <c r="L63" i="2"/>
  <c r="M58" i="2"/>
  <c r="P59" i="2"/>
  <c r="L57" i="2"/>
  <c r="M53" i="2"/>
  <c r="L70" i="2" l="1"/>
  <c r="L56" i="2"/>
  <c r="M69" i="2" s="1"/>
  <c r="M52" i="2"/>
  <c r="M65" i="2" s="1"/>
  <c r="M75" i="2" l="1"/>
  <c r="M64" i="2"/>
  <c r="M63" i="2"/>
  <c r="N58" i="2"/>
  <c r="Q59" i="2"/>
  <c r="M57" i="2"/>
  <c r="N53" i="2"/>
  <c r="M70" i="2" l="1"/>
  <c r="M56" i="2"/>
  <c r="N69" i="2" s="1"/>
  <c r="N52" i="2"/>
  <c r="N65" i="2" s="1"/>
  <c r="N75" i="2" l="1"/>
  <c r="N64" i="2"/>
  <c r="N63" i="2"/>
  <c r="O58" i="2"/>
  <c r="R59" i="2"/>
  <c r="N57" i="2"/>
  <c r="O53" i="2"/>
  <c r="N70" i="2" l="1"/>
  <c r="N56" i="2"/>
  <c r="O69" i="2" s="1"/>
  <c r="O52" i="2"/>
  <c r="O65" i="2" s="1"/>
  <c r="O75" i="2" l="1"/>
  <c r="O64" i="2"/>
  <c r="O63" i="2"/>
  <c r="P58" i="2"/>
  <c r="S59" i="2"/>
  <c r="O57" i="2"/>
  <c r="P53" i="2"/>
  <c r="O70" i="2" l="1"/>
  <c r="P52" i="2"/>
  <c r="P65" i="2" s="1"/>
  <c r="O56" i="2"/>
  <c r="P69" i="2" s="1"/>
  <c r="P75" i="2" l="1"/>
  <c r="P64" i="2"/>
  <c r="Q53" i="2"/>
  <c r="Q52" i="2" s="1"/>
  <c r="Q65" i="2" s="1"/>
  <c r="T59" i="2"/>
  <c r="P63" i="2"/>
  <c r="P57" i="2"/>
  <c r="P56" i="2" s="1"/>
  <c r="Q69" i="2" s="1"/>
  <c r="Q58" i="2"/>
  <c r="P70" i="2" l="1"/>
  <c r="Q75" i="2"/>
  <c r="Q64" i="2"/>
  <c r="Q63" i="2"/>
  <c r="R58" i="2"/>
  <c r="U59" i="2"/>
  <c r="Q57" i="2"/>
  <c r="R53" i="2"/>
  <c r="Q70" i="2" l="1"/>
  <c r="Q56" i="2"/>
  <c r="R69" i="2" s="1"/>
  <c r="R52" i="2"/>
  <c r="R65" i="2" s="1"/>
  <c r="R75" i="2" l="1"/>
  <c r="R64" i="2"/>
  <c r="R63" i="2"/>
  <c r="S58" i="2"/>
  <c r="V59" i="2"/>
  <c r="R57" i="2"/>
  <c r="S53" i="2"/>
  <c r="R70" i="2" l="1"/>
  <c r="R56" i="2"/>
  <c r="S69" i="2" s="1"/>
  <c r="S52" i="2"/>
  <c r="S65" i="2" s="1"/>
  <c r="S75" i="2" l="1"/>
  <c r="S64" i="2"/>
  <c r="S63" i="2"/>
  <c r="T58" i="2"/>
  <c r="W59" i="2"/>
  <c r="S57" i="2"/>
  <c r="T53" i="2"/>
  <c r="S70" i="2" l="1"/>
  <c r="T52" i="2"/>
  <c r="T65" i="2" s="1"/>
  <c r="S56" i="2"/>
  <c r="T69" i="2" s="1"/>
  <c r="T75" i="2" l="1"/>
  <c r="T64" i="2"/>
  <c r="T57" i="2"/>
  <c r="T56" i="2" s="1"/>
  <c r="U69" i="2" s="1"/>
  <c r="X59" i="2"/>
  <c r="U53" i="2"/>
  <c r="U52" i="2" s="1"/>
  <c r="U65" i="2" s="1"/>
  <c r="U58" i="2"/>
  <c r="T63" i="2"/>
  <c r="T70" i="2" l="1"/>
  <c r="U75" i="2"/>
  <c r="U64" i="2"/>
  <c r="U63" i="2"/>
  <c r="V58" i="2"/>
  <c r="Y59" i="2"/>
  <c r="U57" i="2"/>
  <c r="V53" i="2"/>
  <c r="U70" i="2" l="1"/>
  <c r="U56" i="2"/>
  <c r="V69" i="2" s="1"/>
  <c r="V52" i="2"/>
  <c r="V65" i="2" s="1"/>
  <c r="V75" i="2" l="1"/>
  <c r="V64" i="2"/>
  <c r="V63" i="2"/>
  <c r="W58" i="2"/>
  <c r="Z59" i="2"/>
  <c r="V57" i="2"/>
  <c r="W53" i="2"/>
  <c r="V70" i="2" l="1"/>
  <c r="V56" i="2"/>
  <c r="W69" i="2" s="1"/>
  <c r="W52" i="2"/>
  <c r="W65" i="2" s="1"/>
  <c r="W75" i="2" l="1"/>
  <c r="W64" i="2"/>
  <c r="W63" i="2"/>
  <c r="X58" i="2"/>
  <c r="AA59" i="2"/>
  <c r="W57" i="2"/>
  <c r="X53" i="2"/>
  <c r="W70" i="2" l="1"/>
  <c r="W56" i="2"/>
  <c r="X69" i="2" s="1"/>
  <c r="X52" i="2"/>
  <c r="X64" i="2" l="1"/>
  <c r="X65" i="2"/>
  <c r="X75" i="2" s="1"/>
  <c r="Y58" i="2"/>
  <c r="X63" i="2"/>
  <c r="X57" i="2"/>
  <c r="Y53" i="2"/>
  <c r="X70" i="2" l="1"/>
  <c r="X56" i="2"/>
  <c r="Y69" i="2" s="1"/>
  <c r="Y52" i="2"/>
  <c r="Y64" i="2" l="1"/>
  <c r="Y65" i="2"/>
  <c r="Y75" i="2" s="1"/>
  <c r="Z58" i="2"/>
  <c r="Y63" i="2"/>
  <c r="Y57" i="2"/>
  <c r="Z53" i="2"/>
  <c r="Y70" i="2" l="1"/>
  <c r="Y56" i="2"/>
  <c r="Z69" i="2" s="1"/>
  <c r="Z52" i="2"/>
  <c r="Z64" i="2" l="1"/>
  <c r="Z65" i="2"/>
  <c r="Z75" i="2" s="1"/>
  <c r="Z63" i="2"/>
  <c r="Z57" i="2"/>
  <c r="AA53" i="2"/>
  <c r="Z70" i="2" l="1"/>
  <c r="AA52" i="2"/>
  <c r="AA65" i="2" s="1"/>
  <c r="Z56" i="2"/>
  <c r="AA69" i="2" s="1"/>
  <c r="AA75" i="2" l="1"/>
  <c r="AA70" i="2" l="1"/>
  <c r="C62" i="2" l="1"/>
  <c r="D71" i="2" s="1"/>
  <c r="E62" i="2"/>
  <c r="F71" i="2" s="1"/>
  <c r="F62" i="2"/>
  <c r="G71" i="2" s="1"/>
  <c r="G62" i="2"/>
  <c r="H62" i="2"/>
  <c r="I71" i="2" s="1"/>
  <c r="I62" i="2"/>
  <c r="J71" i="2" s="1"/>
  <c r="J62" i="2"/>
  <c r="K71" i="2" s="1"/>
  <c r="K62" i="2"/>
  <c r="L62" i="2"/>
  <c r="M71" i="2" s="1"/>
  <c r="M62" i="2"/>
  <c r="N71" i="2" s="1"/>
  <c r="N62" i="2"/>
  <c r="O71" i="2" s="1"/>
  <c r="O62" i="2"/>
  <c r="P62" i="2"/>
  <c r="Q71" i="2" s="1"/>
  <c r="Q62" i="2"/>
  <c r="R71" i="2" s="1"/>
  <c r="R62" i="2"/>
  <c r="S62" i="2"/>
  <c r="T62" i="2"/>
  <c r="U62" i="2"/>
  <c r="V71" i="2" s="1"/>
  <c r="V62" i="2"/>
  <c r="W71" i="2" s="1"/>
  <c r="W62" i="2"/>
  <c r="X62" i="2"/>
  <c r="Y71" i="2" s="1"/>
  <c r="Y62" i="2"/>
  <c r="Z71" i="2" s="1"/>
  <c r="Z62" i="2"/>
  <c r="AA71" i="2" s="1"/>
  <c r="AA46" i="2"/>
  <c r="AA43" i="2" s="1"/>
  <c r="AA45" i="2" s="1"/>
  <c r="AA44" i="2" s="1"/>
  <c r="D62" i="2"/>
  <c r="E71" i="2" s="1"/>
  <c r="L71" i="2" l="1"/>
  <c r="L68" i="2" s="1"/>
  <c r="L81" i="2" s="1"/>
  <c r="L102" i="2" s="1"/>
  <c r="H71" i="2"/>
  <c r="H68" i="2" s="1"/>
  <c r="H81" i="2" s="1"/>
  <c r="H102" i="2" s="1"/>
  <c r="T71" i="2"/>
  <c r="T68" i="2" s="1"/>
  <c r="T81" i="2" s="1"/>
  <c r="T102" i="2" s="1"/>
  <c r="S71" i="2"/>
  <c r="S68" i="2" s="1"/>
  <c r="S81" i="2" s="1"/>
  <c r="S102" i="2" s="1"/>
  <c r="X71" i="2"/>
  <c r="X68" i="2" s="1"/>
  <c r="X81" i="2" s="1"/>
  <c r="X102" i="2" s="1"/>
  <c r="P71" i="2"/>
  <c r="P68" i="2" s="1"/>
  <c r="P81" i="2" s="1"/>
  <c r="P102" i="2" s="1"/>
  <c r="U71" i="2"/>
  <c r="U68" i="2" s="1"/>
  <c r="U81" i="2" s="1"/>
  <c r="U102" i="2" s="1"/>
  <c r="D68" i="2"/>
  <c r="D81" i="2" s="1"/>
  <c r="D102" i="2" s="1"/>
  <c r="J76" i="2"/>
  <c r="J74" i="2" s="1"/>
  <c r="J68" i="2"/>
  <c r="J81" i="2" s="1"/>
  <c r="J102" i="2" s="1"/>
  <c r="K76" i="2"/>
  <c r="K74" i="2" s="1"/>
  <c r="K68" i="2"/>
  <c r="R76" i="2"/>
  <c r="R74" i="2" s="1"/>
  <c r="R68" i="2"/>
  <c r="R81" i="2" s="1"/>
  <c r="R102" i="2" s="1"/>
  <c r="Y76" i="2"/>
  <c r="Y74" i="2" s="1"/>
  <c r="Y68" i="2"/>
  <c r="Y81" i="2" s="1"/>
  <c r="Y102" i="2" s="1"/>
  <c r="Q76" i="2"/>
  <c r="Q74" i="2" s="1"/>
  <c r="Q68" i="2"/>
  <c r="Q81" i="2" s="1"/>
  <c r="Q102" i="2" s="1"/>
  <c r="I76" i="2"/>
  <c r="I74" i="2" s="1"/>
  <c r="I68" i="2"/>
  <c r="G76" i="2"/>
  <c r="G74" i="2" s="1"/>
  <c r="G68" i="2"/>
  <c r="G81" i="2" s="1"/>
  <c r="G102" i="2" s="1"/>
  <c r="W76" i="2"/>
  <c r="W74" i="2" s="1"/>
  <c r="W68" i="2"/>
  <c r="W81" i="2" s="1"/>
  <c r="W102" i="2" s="1"/>
  <c r="O76" i="2"/>
  <c r="O68" i="2"/>
  <c r="E76" i="2"/>
  <c r="E74" i="2" s="1"/>
  <c r="E68" i="2"/>
  <c r="V76" i="2"/>
  <c r="V74" i="2" s="1"/>
  <c r="V68" i="2"/>
  <c r="V81" i="2" s="1"/>
  <c r="V102" i="2" s="1"/>
  <c r="N76" i="2"/>
  <c r="N74" i="2" s="1"/>
  <c r="N68" i="2"/>
  <c r="N81" i="2" s="1"/>
  <c r="N102" i="2" s="1"/>
  <c r="F76" i="2"/>
  <c r="F74" i="2" s="1"/>
  <c r="F68" i="2"/>
  <c r="AA76" i="2"/>
  <c r="AA74" i="2" s="1"/>
  <c r="AA68" i="2"/>
  <c r="Z76" i="2"/>
  <c r="Z74" i="2" s="1"/>
  <c r="Z68" i="2"/>
  <c r="Z81" i="2" s="1"/>
  <c r="Z102" i="2" s="1"/>
  <c r="M76" i="2"/>
  <c r="M74" i="2" s="1"/>
  <c r="M68" i="2"/>
  <c r="M81" i="2" s="1"/>
  <c r="M102" i="2" s="1"/>
  <c r="AA64" i="2"/>
  <c r="AA63" i="2"/>
  <c r="AA57" i="2"/>
  <c r="O74" i="2"/>
  <c r="C89" i="2"/>
  <c r="C91" i="2"/>
  <c r="C96" i="2" s="1"/>
  <c r="C105" i="2" s="1"/>
  <c r="C92" i="2"/>
  <c r="C97" i="2" s="1"/>
  <c r="C103" i="2" s="1"/>
  <c r="T89" i="2"/>
  <c r="T92" i="2"/>
  <c r="T91" i="2"/>
  <c r="AA58" i="2"/>
  <c r="U76" i="2"/>
  <c r="K89" i="2"/>
  <c r="K91" i="2"/>
  <c r="K92" i="2"/>
  <c r="R89" i="2"/>
  <c r="R91" i="2"/>
  <c r="R92" i="2"/>
  <c r="Q89" i="2"/>
  <c r="Q91" i="2"/>
  <c r="Q92" i="2"/>
  <c r="X92" i="2"/>
  <c r="X89" i="2"/>
  <c r="X91" i="2"/>
  <c r="S76" i="2"/>
  <c r="L89" i="2"/>
  <c r="L91" i="2"/>
  <c r="L92" i="2"/>
  <c r="S92" i="2"/>
  <c r="S89" i="2"/>
  <c r="S91" i="2"/>
  <c r="I89" i="2"/>
  <c r="I91" i="2"/>
  <c r="I92" i="2"/>
  <c r="P89" i="2"/>
  <c r="P92" i="2"/>
  <c r="P91" i="2"/>
  <c r="W92" i="2"/>
  <c r="W91" i="2"/>
  <c r="W89" i="2"/>
  <c r="O92" i="2"/>
  <c r="O89" i="2"/>
  <c r="O91" i="2"/>
  <c r="G92" i="2"/>
  <c r="G91" i="2"/>
  <c r="G89" i="2"/>
  <c r="J89" i="2"/>
  <c r="J91" i="2"/>
  <c r="J92" i="2"/>
  <c r="K81" i="2"/>
  <c r="K102" i="2" s="1"/>
  <c r="N89" i="2"/>
  <c r="N91" i="2"/>
  <c r="N92" i="2"/>
  <c r="O81" i="2"/>
  <c r="O102" i="2" s="1"/>
  <c r="X76" i="2"/>
  <c r="T76" i="2"/>
  <c r="P76" i="2"/>
  <c r="L76" i="2"/>
  <c r="H76" i="2"/>
  <c r="D76" i="2"/>
  <c r="Y92" i="2"/>
  <c r="Y89" i="2"/>
  <c r="Y91" i="2"/>
  <c r="H91" i="2"/>
  <c r="H92" i="2"/>
  <c r="H89" i="2"/>
  <c r="I81" i="2"/>
  <c r="I102" i="2" s="1"/>
  <c r="V92" i="2"/>
  <c r="V89" i="2"/>
  <c r="V91" i="2"/>
  <c r="F91" i="2"/>
  <c r="F92" i="2"/>
  <c r="F89" i="2"/>
  <c r="D92" i="2"/>
  <c r="D89" i="2"/>
  <c r="D91" i="2"/>
  <c r="E81" i="2"/>
  <c r="E102" i="2" s="1"/>
  <c r="Z92" i="2"/>
  <c r="Z91" i="2"/>
  <c r="Z89" i="2"/>
  <c r="U91" i="2"/>
  <c r="U92" i="2"/>
  <c r="U89" i="2"/>
  <c r="M89" i="2"/>
  <c r="M91" i="2"/>
  <c r="M92" i="2"/>
  <c r="E92" i="2"/>
  <c r="E89" i="2"/>
  <c r="E91" i="2"/>
  <c r="F81" i="2"/>
  <c r="F102" i="2" s="1"/>
  <c r="D96" i="2" l="1"/>
  <c r="D94" i="2"/>
  <c r="D97" i="2"/>
  <c r="C108" i="2"/>
  <c r="O84" i="2"/>
  <c r="O85" i="2" s="1"/>
  <c r="O104" i="2" s="1"/>
  <c r="J84" i="2"/>
  <c r="M84" i="2"/>
  <c r="M85" i="2" s="1"/>
  <c r="M104" i="2" s="1"/>
  <c r="N84" i="2"/>
  <c r="N85" i="2" s="1"/>
  <c r="N104" i="2" s="1"/>
  <c r="Z84" i="2"/>
  <c r="Z85" i="2" s="1"/>
  <c r="Z104" i="2" s="1"/>
  <c r="V84" i="2"/>
  <c r="V85" i="2" s="1"/>
  <c r="V104" i="2" s="1"/>
  <c r="G84" i="2"/>
  <c r="G85" i="2" s="1"/>
  <c r="G104" i="2" s="1"/>
  <c r="R84" i="2"/>
  <c r="R85" i="2" s="1"/>
  <c r="R104" i="2" s="1"/>
  <c r="W84" i="2"/>
  <c r="W85" i="2" s="1"/>
  <c r="W104" i="2" s="1"/>
  <c r="Y84" i="2"/>
  <c r="Y85" i="2" s="1"/>
  <c r="Y104" i="2" s="1"/>
  <c r="AA84" i="2"/>
  <c r="AA85" i="2" s="1"/>
  <c r="AA104" i="2" s="1"/>
  <c r="E84" i="2"/>
  <c r="E85" i="2" s="1"/>
  <c r="E104" i="2" s="1"/>
  <c r="I84" i="2"/>
  <c r="I85" i="2" s="1"/>
  <c r="I104" i="2" s="1"/>
  <c r="K84" i="2"/>
  <c r="K85" i="2" s="1"/>
  <c r="K104" i="2" s="1"/>
  <c r="F84" i="2"/>
  <c r="F85" i="2" s="1"/>
  <c r="F104" i="2" s="1"/>
  <c r="Q84" i="2"/>
  <c r="Q85" i="2" s="1"/>
  <c r="Q104" i="2" s="1"/>
  <c r="Y96" i="2"/>
  <c r="E97" i="2"/>
  <c r="E103" i="2" s="1"/>
  <c r="H96" i="2"/>
  <c r="V96" i="2"/>
  <c r="M94" i="2"/>
  <c r="E96" i="2"/>
  <c r="E94" i="2"/>
  <c r="Z97" i="2"/>
  <c r="Z103" i="2" s="1"/>
  <c r="AA62" i="2"/>
  <c r="AA81" i="2" s="1"/>
  <c r="AA102" i="2" s="1"/>
  <c r="B102" i="2" s="1"/>
  <c r="S96" i="2"/>
  <c r="U96" i="2"/>
  <c r="L96" i="2"/>
  <c r="Y97" i="2"/>
  <c r="Y103" i="2" s="1"/>
  <c r="P96" i="2"/>
  <c r="U97" i="2"/>
  <c r="U103" i="2" s="1"/>
  <c r="J97" i="2"/>
  <c r="J103" i="2" s="1"/>
  <c r="J94" i="2"/>
  <c r="O97" i="2"/>
  <c r="O103" i="2" s="1"/>
  <c r="M97" i="2"/>
  <c r="M103" i="2" s="1"/>
  <c r="H94" i="2"/>
  <c r="Q94" i="2"/>
  <c r="J96" i="2"/>
  <c r="R97" i="2"/>
  <c r="R103" i="2" s="1"/>
  <c r="U94" i="2"/>
  <c r="P94" i="2"/>
  <c r="S97" i="2"/>
  <c r="S103" i="2" s="1"/>
  <c r="R96" i="2"/>
  <c r="O96" i="2"/>
  <c r="X97" i="2"/>
  <c r="X103" i="2" s="1"/>
  <c r="M96" i="2"/>
  <c r="H97" i="2"/>
  <c r="H103" i="2" s="1"/>
  <c r="L97" i="2"/>
  <c r="L103" i="2" s="1"/>
  <c r="T74" i="2"/>
  <c r="T84" i="2" s="1"/>
  <c r="S74" i="2"/>
  <c r="S84" i="2" s="1"/>
  <c r="K94" i="2"/>
  <c r="U74" i="2"/>
  <c r="U84" i="2" s="1"/>
  <c r="V97" i="2"/>
  <c r="V103" i="2" s="1"/>
  <c r="X74" i="2"/>
  <c r="X84" i="2" s="1"/>
  <c r="O94" i="2"/>
  <c r="P97" i="2"/>
  <c r="P103" i="2" s="1"/>
  <c r="S94" i="2"/>
  <c r="X96" i="2"/>
  <c r="D103" i="2"/>
  <c r="D74" i="2"/>
  <c r="D84" i="2" s="1"/>
  <c r="X94" i="2"/>
  <c r="X93" i="2"/>
  <c r="V94" i="2"/>
  <c r="R94" i="2"/>
  <c r="T96" i="2"/>
  <c r="Z94" i="2"/>
  <c r="Z93" i="2"/>
  <c r="Z96" i="2"/>
  <c r="F97" i="2"/>
  <c r="F103" i="2" s="1"/>
  <c r="L74" i="2"/>
  <c r="L84" i="2" s="1"/>
  <c r="N97" i="2"/>
  <c r="N103" i="2" s="1"/>
  <c r="G94" i="2"/>
  <c r="W94" i="2"/>
  <c r="I97" i="2"/>
  <c r="I103" i="2" s="1"/>
  <c r="T97" i="2"/>
  <c r="T103" i="2" s="1"/>
  <c r="Y94" i="2"/>
  <c r="Y93" i="2"/>
  <c r="F94" i="2"/>
  <c r="H74" i="2"/>
  <c r="H84" i="2" s="1"/>
  <c r="F96" i="2"/>
  <c r="N96" i="2"/>
  <c r="G96" i="2"/>
  <c r="W96" i="2"/>
  <c r="I96" i="2"/>
  <c r="Q97" i="2"/>
  <c r="Q103" i="2" s="1"/>
  <c r="K97" i="2"/>
  <c r="K103" i="2" s="1"/>
  <c r="T94" i="2"/>
  <c r="AA56" i="2"/>
  <c r="P74" i="2"/>
  <c r="P84" i="2" s="1"/>
  <c r="N94" i="2"/>
  <c r="G97" i="2"/>
  <c r="G103" i="2" s="1"/>
  <c r="W97" i="2"/>
  <c r="W103" i="2" s="1"/>
  <c r="I94" i="2"/>
  <c r="L94" i="2"/>
  <c r="Q96" i="2"/>
  <c r="K96" i="2"/>
  <c r="J85" i="2"/>
  <c r="J104" i="2" s="1"/>
  <c r="AA89" i="2"/>
  <c r="Z86" i="2" l="1"/>
  <c r="Z105" i="2" s="1"/>
  <c r="E86" i="2"/>
  <c r="E105" i="2" s="1"/>
  <c r="AA86" i="2"/>
  <c r="F86" i="2"/>
  <c r="F105" i="2" s="1"/>
  <c r="N86" i="2"/>
  <c r="N105" i="2" s="1"/>
  <c r="Q86" i="2"/>
  <c r="Q105" i="2" s="1"/>
  <c r="Y86" i="2"/>
  <c r="Y105" i="2" s="1"/>
  <c r="V86" i="2"/>
  <c r="V105" i="2" s="1"/>
  <c r="I86" i="2"/>
  <c r="I105" i="2" s="1"/>
  <c r="AA92" i="2"/>
  <c r="AA97" i="2" s="1"/>
  <c r="AA103" i="2" s="1"/>
  <c r="B103" i="2" s="1"/>
  <c r="AA91" i="2"/>
  <c r="AA96" i="2" s="1"/>
  <c r="M86" i="2"/>
  <c r="M105" i="2" s="1"/>
  <c r="G86" i="2"/>
  <c r="G105" i="2" s="1"/>
  <c r="K86" i="2"/>
  <c r="K105" i="2" s="1"/>
  <c r="R86" i="2"/>
  <c r="R105" i="2" s="1"/>
  <c r="O86" i="2"/>
  <c r="O105" i="2" s="1"/>
  <c r="H85" i="2"/>
  <c r="H104" i="2" s="1"/>
  <c r="W86" i="2"/>
  <c r="W105" i="2" s="1"/>
  <c r="S85" i="2"/>
  <c r="S104" i="2" s="1"/>
  <c r="L85" i="2"/>
  <c r="L104" i="2" s="1"/>
  <c r="X85" i="2"/>
  <c r="X104" i="2" s="1"/>
  <c r="P85" i="2"/>
  <c r="P104" i="2" s="1"/>
  <c r="AA94" i="2"/>
  <c r="J86" i="2"/>
  <c r="J105" i="2" s="1"/>
  <c r="D85" i="2"/>
  <c r="D104" i="2" s="1"/>
  <c r="U85" i="2"/>
  <c r="U104" i="2" s="1"/>
  <c r="T85" i="2"/>
  <c r="T104" i="2" s="1"/>
  <c r="AA105" i="2" l="1"/>
  <c r="AA93" i="2"/>
  <c r="T86" i="2"/>
  <c r="T105" i="2" s="1"/>
  <c r="L86" i="2"/>
  <c r="L105" i="2" s="1"/>
  <c r="P86" i="2"/>
  <c r="P105" i="2" s="1"/>
  <c r="U86" i="2"/>
  <c r="U105" i="2" s="1"/>
  <c r="H86" i="2"/>
  <c r="H105" i="2" s="1"/>
  <c r="S86" i="2"/>
  <c r="S105" i="2" s="1"/>
  <c r="B104" i="2"/>
  <c r="D86" i="2"/>
  <c r="D105" i="2" s="1"/>
  <c r="X86" i="2"/>
  <c r="X105" i="2" s="1"/>
  <c r="B105" i="2" l="1"/>
  <c r="D108" i="2"/>
  <c r="E108" i="2" s="1"/>
  <c r="F108" i="2" s="1"/>
  <c r="G108" i="2" s="1"/>
  <c r="H108" i="2" s="1"/>
  <c r="I108" i="2" s="1"/>
  <c r="J108" i="2" s="1"/>
  <c r="K108" i="2" s="1"/>
  <c r="L108" i="2" s="1"/>
  <c r="M108" i="2" s="1"/>
  <c r="N108" i="2" s="1"/>
  <c r="O108" i="2" s="1"/>
  <c r="P108" i="2" s="1"/>
  <c r="Q108" i="2" s="1"/>
  <c r="R108" i="2" s="1"/>
  <c r="S108" i="2" s="1"/>
  <c r="T108" i="2" s="1"/>
  <c r="U108" i="2" s="1"/>
  <c r="V108" i="2" s="1"/>
  <c r="W108" i="2" s="1"/>
  <c r="X108" i="2" s="1"/>
  <c r="Y108" i="2" s="1"/>
  <c r="Z108" i="2" s="1"/>
  <c r="AA10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<sst xmlns="http://schemas.openxmlformats.org/spreadsheetml/2006/main" count="165" uniqueCount="137">
  <si>
    <t>1. Построить диаграмму распределения статусов, используя ваши кривые DLNQ ratio, CLO Rate, DEF Rate ( чтобы построить кривые для конкретного pd/x_score используйте метод линейной аппроксимации для каждого стейтмента)</t>
  </si>
  <si>
    <r>
      <t xml:space="preserve">2. Добавить в нпв учет страховки - 1% прибыли от баланса </t>
    </r>
    <r>
      <rPr>
        <b/>
        <sz val="11"/>
        <color theme="1"/>
        <rFont val="Calibri"/>
        <family val="2"/>
        <scheme val="minor"/>
      </rPr>
      <t xml:space="preserve">основого долга </t>
    </r>
    <r>
      <rPr>
        <sz val="11"/>
        <color theme="1"/>
        <rFont val="Calibri"/>
        <family val="2"/>
        <scheme val="minor"/>
      </rPr>
      <t>за предыдущий месяц. На первый стейтмент доля клиентов, имеющих страховку - 80%, последующие стейтменты - 50%</t>
    </r>
  </si>
  <si>
    <t>3. Нарисовать диаграмму изменения PV при измненеиях PD и X-score на 1%, аналогично диаграмме ниже</t>
  </si>
  <si>
    <t>General Assumptions</t>
  </si>
  <si>
    <t>PD</t>
  </si>
  <si>
    <t>pd</t>
  </si>
  <si>
    <t>X_score</t>
  </si>
  <si>
    <t>pclo</t>
  </si>
  <si>
    <t>Initial amount</t>
  </si>
  <si>
    <t>initial_amount</t>
  </si>
  <si>
    <t>initial_term</t>
  </si>
  <si>
    <t>Monthly repayment</t>
  </si>
  <si>
    <t>regular_payment</t>
  </si>
  <si>
    <t>Tariff Assumptions</t>
  </si>
  <si>
    <t>Interest rate</t>
  </si>
  <si>
    <t>interest_rate</t>
  </si>
  <si>
    <t>Insurance</t>
  </si>
  <si>
    <t>Financial Assumptions</t>
  </si>
  <si>
    <t>Cost of Funds</t>
  </si>
  <si>
    <t>CoF</t>
  </si>
  <si>
    <t>Tax Rate</t>
  </si>
  <si>
    <t>tax_rate</t>
  </si>
  <si>
    <t>Discounting Rate</t>
  </si>
  <si>
    <t>discount_rate</t>
  </si>
  <si>
    <t>Equity Requirement</t>
  </si>
  <si>
    <t>Equity</t>
  </si>
  <si>
    <t>Cost Assumptions</t>
  </si>
  <si>
    <t>Operational cost</t>
  </si>
  <si>
    <t>operational_cost</t>
  </si>
  <si>
    <t>Collection cost</t>
  </si>
  <si>
    <t>collection_cost</t>
  </si>
  <si>
    <t>Recovery</t>
  </si>
  <si>
    <t>recovery</t>
  </si>
  <si>
    <t>DEF_Rate</t>
  </si>
  <si>
    <t>DLNQ_Ratio</t>
  </si>
  <si>
    <t>CLO_Rate</t>
  </si>
  <si>
    <t>Insurance Ratio</t>
  </si>
  <si>
    <t>INS_Ratio</t>
  </si>
  <si>
    <t>Statement num</t>
  </si>
  <si>
    <t>Number Accounts</t>
  </si>
  <si>
    <t>Active Accounts</t>
  </si>
  <si>
    <t>accnt_ACT</t>
  </si>
  <si>
    <t>Current Accounts</t>
  </si>
  <si>
    <t>accnt_CUR</t>
  </si>
  <si>
    <t>Delinquent Accounts</t>
  </si>
  <si>
    <t>accnt_DLQ</t>
  </si>
  <si>
    <t>Closed Accounts</t>
  </si>
  <si>
    <t>accnt_CLO</t>
  </si>
  <si>
    <t>Default accounts (90+)</t>
  </si>
  <si>
    <t>accnt_DEF</t>
  </si>
  <si>
    <t>Accounts Becoming Default</t>
  </si>
  <si>
    <t>accnt_b_def</t>
  </si>
  <si>
    <t>Model Balance</t>
  </si>
  <si>
    <t>Planned Principal Balance</t>
  </si>
  <si>
    <t>PB_model</t>
  </si>
  <si>
    <t>Interest model</t>
  </si>
  <si>
    <t>int_model</t>
  </si>
  <si>
    <t>Balances &amp; Repayments</t>
  </si>
  <si>
    <t>Principal Balance ACT</t>
  </si>
  <si>
    <t>PB_ACT</t>
  </si>
  <si>
    <t>Principal Balance CUR</t>
  </si>
  <si>
    <t>PB_CUR</t>
  </si>
  <si>
    <t>Principal balance DLQ</t>
  </si>
  <si>
    <t>PB_DLQ</t>
  </si>
  <si>
    <t>Principal balance DEF</t>
  </si>
  <si>
    <t>PB_DEF</t>
  </si>
  <si>
    <t xml:space="preserve">Gross Balance </t>
  </si>
  <si>
    <t>Gross Balance  of Active Account</t>
  </si>
  <si>
    <t>GB_ACT</t>
  </si>
  <si>
    <t>Gross Balance of Current Account</t>
  </si>
  <si>
    <t>GB_CUR</t>
  </si>
  <si>
    <t>Gross Balance of Delinquent Account</t>
  </si>
  <si>
    <t>GB_DLQ</t>
  </si>
  <si>
    <t>Gross balance DEF</t>
  </si>
  <si>
    <t>GB_DEF</t>
  </si>
  <si>
    <t xml:space="preserve">Profit &amp; Loss </t>
  </si>
  <si>
    <t>Gross Profit</t>
  </si>
  <si>
    <t>Gross_profit</t>
  </si>
  <si>
    <t>Interest</t>
  </si>
  <si>
    <t>Recov</t>
  </si>
  <si>
    <t>Insur</t>
  </si>
  <si>
    <t>Gross Loss</t>
  </si>
  <si>
    <t>Gross_loss</t>
  </si>
  <si>
    <t>Loan Loss</t>
  </si>
  <si>
    <t>Loan_loss</t>
  </si>
  <si>
    <t>cost_of_funds</t>
  </si>
  <si>
    <t>Operational costs</t>
  </si>
  <si>
    <t>operation_cost</t>
  </si>
  <si>
    <t>Collection costs</t>
  </si>
  <si>
    <t>collect_cost</t>
  </si>
  <si>
    <t>Repayments</t>
  </si>
  <si>
    <t>Repayment</t>
  </si>
  <si>
    <t>repayment</t>
  </si>
  <si>
    <t>Net Income &amp; Net Balance</t>
  </si>
  <si>
    <t>Net Income before Tax</t>
  </si>
  <si>
    <t>Net_Income_Btax</t>
  </si>
  <si>
    <t>Tax</t>
  </si>
  <si>
    <t>Net Income After Tax</t>
  </si>
  <si>
    <t>Net_Income_Atax</t>
  </si>
  <si>
    <t>Assets &amp; Liabilities</t>
  </si>
  <si>
    <t>Assets</t>
  </si>
  <si>
    <t>assets</t>
  </si>
  <si>
    <t>Liabilities</t>
  </si>
  <si>
    <t>Eq_req</t>
  </si>
  <si>
    <t>Funding Requirement</t>
  </si>
  <si>
    <t>Fund_req</t>
  </si>
  <si>
    <t>Assets Change</t>
  </si>
  <si>
    <t>assets_chng</t>
  </si>
  <si>
    <t>Liabilities Cahnge</t>
  </si>
  <si>
    <t>Equity Requirement change</t>
  </si>
  <si>
    <t>Eq_req_chng</t>
  </si>
  <si>
    <t>Funding Requirement Change</t>
  </si>
  <si>
    <t>Fund_req_chng</t>
  </si>
  <si>
    <t>CASH FLOWS &amp; PV</t>
  </si>
  <si>
    <t>Coefficient Discount</t>
  </si>
  <si>
    <t>Coeff_discount</t>
  </si>
  <si>
    <t>Cash Flow to client</t>
  </si>
  <si>
    <t>Cash Flow to bondholders</t>
  </si>
  <si>
    <t>Cash Flow to cost&amp;tax</t>
  </si>
  <si>
    <t>Cash Flow to shareholders</t>
  </si>
  <si>
    <t>Cumulative Discounted Cash Flow to Shareholders</t>
  </si>
  <si>
    <t>Cumulative_PV</t>
  </si>
  <si>
    <t>pd_coef</t>
  </si>
  <si>
    <t>x_coef</t>
  </si>
  <si>
    <t>Default Rate</t>
  </si>
  <si>
    <t>DLQ Ratio</t>
  </si>
  <si>
    <t>CLO Rate</t>
  </si>
  <si>
    <t>Среднее</t>
  </si>
  <si>
    <t>pd_bucket</t>
  </si>
  <si>
    <t>x_bucket</t>
  </si>
  <si>
    <t>statement_num</t>
  </si>
  <si>
    <t>def_rate</t>
  </si>
  <si>
    <t>dlq ratio</t>
  </si>
  <si>
    <t>clo rate</t>
  </si>
  <si>
    <t xml:space="preserve">int_rate </t>
  </si>
  <si>
    <t>+100руб</t>
  </si>
  <si>
    <t>-100руб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</si>
</sst>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0.0%"/>
    <numFmt numFmtId="166" formatCode="0.00000%"/>
    <numFmt numFmtId="167" formatCode="_-* #,##0_р_._-;\-* #,##0_р_._-;_-* &quot;-&quot;??_р_.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10"/>
      <color theme="0" tint="-0.499984740745262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rgb="FFFFFFFF"/>
      <name val="Calibri"/>
      <family val="2"/>
      <charset val="204"/>
    </font>
    <font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</font>
    <font>
      <sz val="11"/>
      <color theme="1" tint="0.249977111117893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499984740745262"/>
      </bottom>
      <diagonal/>
    </border>
    <border>
      <left/>
      <right style="thin">
        <color theme="0" tint="-0.249977111117893"/>
      </right>
      <top/>
      <bottom style="thin">
        <color theme="1" tint="0.499984740745262"/>
      </bottom>
      <diagonal/>
    </border>
  </borders>
  <cellStyleXfs count="11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0" fillId="2" borderId="0" xfId="0" applyFill="1"/>
    <xf numFmtId="2" fontId="0" fillId="2" borderId="0" xfId="0" applyNumberFormat="1" applyFill="1"/>
    <xf numFmtId="1" fontId="0" fillId="2" borderId="2" xfId="0" applyNumberFormat="1" applyFill="1" applyBorder="1"/>
    <xf numFmtId="0" fontId="0" fillId="2" borderId="3" xfId="0" applyFill="1" applyBorder="1"/>
    <xf numFmtId="2" fontId="0" fillId="2" borderId="0" xfId="1" applyNumberFormat="1" applyFont="1" applyFill="1" applyBorder="1"/>
    <xf numFmtId="0" fontId="0" fillId="2" borderId="7" xfId="0" applyFill="1" applyBorder="1"/>
    <xf numFmtId="9" fontId="0" fillId="0" borderId="0" xfId="0" applyNumberFormat="1"/>
    <xf numFmtId="0" fontId="0" fillId="3" borderId="0" xfId="0" applyFill="1"/>
    <xf numFmtId="0" fontId="6" fillId="3" borderId="0" xfId="0" applyFont="1" applyFill="1"/>
    <xf numFmtId="0" fontId="13" fillId="3" borderId="0" xfId="0" applyFont="1" applyFill="1" applyAlignment="1">
      <alignment wrapText="1"/>
    </xf>
    <xf numFmtId="0" fontId="14" fillId="3" borderId="1" xfId="0" applyFont="1" applyFill="1" applyBorder="1" applyAlignment="1">
      <alignment wrapText="1"/>
    </xf>
    <xf numFmtId="0" fontId="11" fillId="3" borderId="5" xfId="0" applyFont="1" applyFill="1" applyBorder="1" applyAlignment="1">
      <alignment wrapText="1"/>
    </xf>
    <xf numFmtId="9" fontId="11" fillId="3" borderId="1" xfId="2" applyFont="1" applyFill="1" applyBorder="1" applyAlignment="1">
      <alignment horizontal="right" wrapText="1"/>
    </xf>
    <xf numFmtId="0" fontId="11" fillId="3" borderId="6" xfId="0" applyFont="1" applyFill="1" applyBorder="1" applyAlignment="1">
      <alignment wrapText="1"/>
    </xf>
    <xf numFmtId="0" fontId="11" fillId="3" borderId="1" xfId="0" applyFont="1" applyFill="1" applyBorder="1" applyAlignment="1">
      <alignment horizontal="right" wrapText="1"/>
    </xf>
    <xf numFmtId="0" fontId="11" fillId="3" borderId="4" xfId="0" applyFont="1" applyFill="1" applyBorder="1" applyAlignment="1">
      <alignment wrapText="1"/>
    </xf>
    <xf numFmtId="1" fontId="11" fillId="3" borderId="1" xfId="0" applyNumberFormat="1" applyFont="1" applyFill="1" applyBorder="1" applyAlignment="1">
      <alignment horizontal="right" wrapText="1"/>
    </xf>
    <xf numFmtId="0" fontId="11" fillId="3" borderId="0" xfId="0" applyFont="1" applyFill="1" applyAlignment="1">
      <alignment wrapText="1"/>
    </xf>
    <xf numFmtId="9" fontId="11" fillId="3" borderId="1" xfId="0" applyNumberFormat="1" applyFont="1" applyFill="1" applyBorder="1" applyAlignment="1">
      <alignment horizontal="right" wrapText="1"/>
    </xf>
    <xf numFmtId="0" fontId="14" fillId="3" borderId="4" xfId="0" applyFont="1" applyFill="1" applyBorder="1" applyAlignment="1">
      <alignment wrapText="1"/>
    </xf>
    <xf numFmtId="165" fontId="11" fillId="3" borderId="1" xfId="0" applyNumberFormat="1" applyFont="1" applyFill="1" applyBorder="1" applyAlignment="1">
      <alignment horizontal="right" wrapText="1"/>
    </xf>
    <xf numFmtId="0" fontId="14" fillId="3" borderId="0" xfId="0" applyFont="1" applyFill="1" applyAlignment="1">
      <alignment wrapText="1"/>
    </xf>
    <xf numFmtId="2" fontId="0" fillId="3" borderId="0" xfId="1" applyNumberFormat="1" applyFont="1" applyFill="1" applyBorder="1"/>
    <xf numFmtId="2" fontId="7" fillId="3" borderId="0" xfId="1" applyNumberFormat="1" applyFont="1" applyFill="1" applyBorder="1"/>
    <xf numFmtId="165" fontId="0" fillId="3" borderId="0" xfId="2" applyNumberFormat="1" applyFont="1" applyFill="1" applyBorder="1"/>
    <xf numFmtId="0" fontId="0" fillId="3" borderId="10" xfId="0" applyFill="1" applyBorder="1"/>
    <xf numFmtId="2" fontId="0" fillId="3" borderId="0" xfId="0" applyNumberFormat="1" applyFill="1"/>
    <xf numFmtId="0" fontId="15" fillId="3" borderId="0" xfId="0" applyFont="1" applyFill="1" applyAlignment="1">
      <alignment horizontal="left" indent="1"/>
    </xf>
    <xf numFmtId="0" fontId="15" fillId="3" borderId="10" xfId="0" applyFont="1" applyFill="1" applyBorder="1" applyAlignment="1">
      <alignment horizontal="left" indent="1"/>
    </xf>
    <xf numFmtId="2" fontId="0" fillId="3" borderId="10" xfId="0" applyNumberFormat="1" applyFill="1" applyBorder="1"/>
    <xf numFmtId="9" fontId="0" fillId="3" borderId="0" xfId="2" applyFont="1" applyFill="1"/>
    <xf numFmtId="165" fontId="0" fillId="3" borderId="0" xfId="2" applyNumberFormat="1" applyFont="1" applyFill="1"/>
    <xf numFmtId="10" fontId="0" fillId="3" borderId="0" xfId="2" applyNumberFormat="1" applyFont="1" applyFill="1"/>
    <xf numFmtId="10" fontId="0" fillId="3" borderId="0" xfId="0" applyNumberFormat="1" applyFill="1"/>
    <xf numFmtId="166" fontId="6" fillId="3" borderId="0" xfId="0" applyNumberFormat="1" applyFont="1" applyFill="1"/>
    <xf numFmtId="1" fontId="6" fillId="3" borderId="0" xfId="2" applyNumberFormat="1" applyFont="1" applyFill="1"/>
    <xf numFmtId="167" fontId="0" fillId="3" borderId="0" xfId="1" applyNumberFormat="1" applyFont="1" applyFill="1" applyBorder="1"/>
    <xf numFmtId="1" fontId="0" fillId="3" borderId="0" xfId="1" applyNumberFormat="1" applyFont="1" applyFill="1" applyBorder="1"/>
    <xf numFmtId="1" fontId="0" fillId="3" borderId="11" xfId="0" applyNumberFormat="1" applyFill="1" applyBorder="1"/>
    <xf numFmtId="1" fontId="0" fillId="3" borderId="2" xfId="0" applyNumberFormat="1" applyFill="1" applyBorder="1"/>
    <xf numFmtId="1" fontId="0" fillId="3" borderId="10" xfId="1" applyNumberFormat="1" applyFont="1" applyFill="1" applyBorder="1"/>
    <xf numFmtId="1" fontId="0" fillId="3" borderId="0" xfId="0" applyNumberFormat="1" applyFill="1"/>
    <xf numFmtId="1" fontId="0" fillId="3" borderId="10" xfId="0" applyNumberFormat="1" applyFill="1" applyBorder="1"/>
    <xf numFmtId="0" fontId="10" fillId="3" borderId="0" xfId="0" applyFont="1" applyFill="1" applyAlignment="1">
      <alignment horizontal="left" indent="1"/>
    </xf>
    <xf numFmtId="0" fontId="10" fillId="3" borderId="10" xfId="0" applyFont="1" applyFill="1" applyBorder="1" applyAlignment="1">
      <alignment horizontal="left" indent="1"/>
    </xf>
    <xf numFmtId="1" fontId="7" fillId="3" borderId="0" xfId="0" applyNumberFormat="1" applyFont="1" applyFill="1"/>
    <xf numFmtId="1" fontId="6" fillId="3" borderId="0" xfId="0" applyNumberFormat="1" applyFont="1" applyFill="1"/>
    <xf numFmtId="0" fontId="0" fillId="3" borderId="2" xfId="0" applyFill="1" applyBorder="1"/>
    <xf numFmtId="0" fontId="0" fillId="3" borderId="11" xfId="0" applyFill="1" applyBorder="1"/>
    <xf numFmtId="0" fontId="0" fillId="3" borderId="3" xfId="0" applyFill="1" applyBorder="1"/>
    <xf numFmtId="0" fontId="0" fillId="3" borderId="12" xfId="0" applyFill="1" applyBorder="1"/>
    <xf numFmtId="1" fontId="0" fillId="3" borderId="3" xfId="0" applyNumberFormat="1" applyFill="1" applyBorder="1"/>
    <xf numFmtId="0" fontId="9" fillId="3" borderId="10" xfId="0" applyFont="1" applyFill="1" applyBorder="1"/>
    <xf numFmtId="2" fontId="8" fillId="3" borderId="0" xfId="0" applyNumberFormat="1" applyFont="1" applyFill="1"/>
    <xf numFmtId="165" fontId="9" fillId="3" borderId="10" xfId="2" applyNumberFormat="1" applyFont="1" applyFill="1" applyBorder="1" applyAlignment="1">
      <alignment horizontal="center"/>
    </xf>
    <xf numFmtId="0" fontId="0" fillId="3" borderId="7" xfId="0" applyFill="1" applyBorder="1"/>
    <xf numFmtId="1" fontId="0" fillId="3" borderId="9" xfId="0" applyNumberFormat="1" applyFill="1" applyBorder="1"/>
    <xf numFmtId="1" fontId="0" fillId="3" borderId="7" xfId="0" applyNumberFormat="1" applyFill="1" applyBorder="1"/>
    <xf numFmtId="0" fontId="9" fillId="3" borderId="0" xfId="0" applyFont="1" applyFill="1"/>
    <xf numFmtId="1" fontId="9" fillId="3" borderId="0" xfId="0" applyNumberFormat="1" applyFont="1" applyFill="1"/>
    <xf numFmtId="0" fontId="0" fillId="3" borderId="8" xfId="0" applyFill="1" applyBorder="1"/>
    <xf numFmtId="1" fontId="0" fillId="3" borderId="0" xfId="2" applyNumberFormat="1" applyFont="1" applyFill="1"/>
    <xf numFmtId="0" fontId="12" fillId="4" borderId="1" xfId="0" applyFont="1" applyFill="1" applyBorder="1" applyAlignment="1">
      <alignment wrapText="1"/>
    </xf>
    <xf numFmtId="0" fontId="0" fillId="3" borderId="0" xfId="0" quotePrefix="1" applyFill="1"/>
    <xf numFmtId="2" fontId="0" fillId="0" borderId="0" xfId="1" applyNumberFormat="1" applyFont="1"/>
    <xf numFmtId="164" fontId="0" fillId="0" borderId="0" xfId="1" applyFont="1"/>
    <xf numFmtId="0" fontId="16" fillId="0" borderId="1" xfId="0" applyFont="1" applyBorder="1" applyAlignment="1">
      <alignment horizontal="center" vertical="top"/>
    </xf>
    <xf numFmtId="10" fontId="0" fillId="0" borderId="0" xfId="2" applyNumberFormat="1" applyFont="1"/>
    <xf numFmtId="165" fontId="0" fillId="0" borderId="0" xfId="2" applyNumberFormat="1" applyFont="1"/>
    <xf numFmtId="0" fontId="15" fillId="5" borderId="0" xfId="0" applyFont="1" applyFill="1" applyAlignment="1">
      <alignment horizontal="left" indent="1"/>
    </xf>
    <xf numFmtId="0" fontId="0" fillId="3" borderId="0" xfId="2" applyNumberFormat="1" applyFont="1" applyFill="1"/>
    <xf numFmtId="9" fontId="1" fillId="3" borderId="0" xfId="2" applyFont="1" applyFill="1" applyBorder="1"/>
    <xf numFmtId="165" fontId="1" fillId="3" borderId="0" xfId="2" applyNumberFormat="1" applyFont="1" applyFill="1" applyBorder="1"/>
    <xf numFmtId="9" fontId="1" fillId="3" borderId="11" xfId="2" applyFont="1" applyFill="1" applyBorder="1"/>
    <xf numFmtId="9" fontId="1" fillId="3" borderId="2" xfId="2" applyFont="1" applyFill="1" applyBorder="1"/>
    <xf numFmtId="165" fontId="1" fillId="3" borderId="2" xfId="2" applyNumberFormat="1" applyFont="1" applyFill="1" applyBorder="1"/>
    <xf numFmtId="2" fontId="1" fillId="3" borderId="0" xfId="1" applyNumberFormat="1" applyFont="1" applyFill="1" applyBorder="1"/>
    <xf numFmtId="10" fontId="1" fillId="3" borderId="0" xfId="2" applyNumberFormat="1" applyFont="1" applyFill="1" applyBorder="1"/>
    <xf numFmtId="1" fontId="1" fillId="3" borderId="0" xfId="1" applyNumberFormat="1" applyFont="1" applyFill="1" applyBorder="1"/>
    <xf numFmtId="1" fontId="1" fillId="3" borderId="10" xfId="0" applyNumberFormat="1" applyFont="1" applyFill="1" applyBorder="1"/>
    <xf numFmtId="1" fontId="1" fillId="3" borderId="0" xfId="0" applyNumberFormat="1" applyFont="1" applyFill="1"/>
    <xf numFmtId="0" fontId="0" fillId="0" borderId="7" xfId="0" applyBorder="1" applyAlignment="1">
      <alignment horizontal="center"/>
    </xf>
    <xf numFmtId="0" fontId="16" fillId="0" borderId="1" xfId="0" applyFont="1" applyBorder="1" applyAlignment="1">
      <alignment horizontal="center" vertical="top"/>
    </xf>
  </cellXfs>
  <cellStyles count="11">
    <cellStyle name="Обычный" xfId="0" builtinId="0"/>
    <cellStyle name="Обычный 2" xfId="3" xr:uid="{00000000-0005-0000-0000-000001000000}"/>
    <cellStyle name="Обычный 3" xfId="6" xr:uid="{00000000-0005-0000-0000-000002000000}"/>
    <cellStyle name="Обычный 4" xfId="8" xr:uid="{00000000-0005-0000-0000-000003000000}"/>
    <cellStyle name="Обычный 7" xfId="10" xr:uid="{00000000-0005-0000-0000-000004000000}"/>
    <cellStyle name="Обычный 8" xfId="9" xr:uid="{00000000-0005-0000-0000-000005000000}"/>
    <cellStyle name="Процентный" xfId="2" builtinId="5"/>
    <cellStyle name="Процентный 2" xfId="5" xr:uid="{00000000-0005-0000-0000-000007000000}"/>
    <cellStyle name="Процентный 3" xfId="7" xr:uid="{00000000-0005-0000-0000-000008000000}"/>
    <cellStyle name="Финансовый" xfId="1" builtinId="3"/>
    <cellStyle name="Финансовый 2" xfId="4" xr:uid="{00000000-0005-0000-0000-00000A000000}"/>
  </cellStyles>
  <dxfs count="0"/>
  <tableStyles count="0" defaultTableStyle="TableStyleMedium2" defaultPivotStyle="PivotStyleMedium9"/>
  <colors>
    <mruColors>
      <color rgb="FF333333"/>
      <color rgb="FFB1C5FA"/>
      <color rgb="FFD8D8D8"/>
      <color rgb="FFFF7B75"/>
      <color rgb="FFAFAFAF"/>
      <color rgb="FFFFFB2D"/>
      <color rgb="FFB0D8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Изменение</a:t>
            </a:r>
            <a:r>
              <a:rPr lang="en-US"/>
              <a:t> PV </a:t>
            </a:r>
            <a:r>
              <a:rPr lang="ru-RU"/>
              <a:t>при</a:t>
            </a:r>
            <a:r>
              <a:rPr lang="ru-RU" baseline="0"/>
              <a:t> изменении показателей</a:t>
            </a:r>
            <a:r>
              <a:rPr lang="ru-RU"/>
              <a:t> </a:t>
            </a:r>
          </a:p>
        </c:rich>
      </c:tx>
      <c:layout>
        <c:manualLayout>
          <c:xMode val="edge"/>
          <c:yMode val="edge"/>
          <c:x val="9.0568807339449539E-2"/>
          <c:y val="3.2520325203252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1%</c:v>
                </c:pt>
              </c:strCache>
            </c:strRef>
          </c:tx>
          <c:spPr>
            <a:solidFill>
              <a:srgbClr val="B1C5FA"/>
            </a:solidFill>
            <a:ln>
              <a:noFill/>
            </a:ln>
            <a:effectLst/>
          </c:spPr>
          <c:invertIfNegative val="0"/>
          <c:cat>
            <c:strRef>
              <c:f>Лист1!$A$3:$A$7</c:f>
              <c:strCache>
                <c:ptCount val="5"/>
                <c:pt idx="0">
                  <c:v>int_rate </c:v>
                </c:pt>
                <c:pt idx="1">
                  <c:v>CoF</c:v>
                </c:pt>
                <c:pt idx="2">
                  <c:v>Equity</c:v>
                </c:pt>
                <c:pt idx="3">
                  <c:v>discount_rate</c:v>
                </c:pt>
                <c:pt idx="4">
                  <c:v>tax_rate</c:v>
                </c:pt>
              </c:strCache>
            </c:strRef>
          </c:cat>
          <c:val>
            <c:numRef>
              <c:f>Лист1!$B$3:$B$7</c:f>
              <c:numCache>
                <c:formatCode>General</c:formatCode>
                <c:ptCount val="5"/>
                <c:pt idx="0">
                  <c:v>2789.8083666476159</c:v>
                </c:pt>
                <c:pt idx="1">
                  <c:v>-2583.6217591579953</c:v>
                </c:pt>
                <c:pt idx="2">
                  <c:v>-477.05987869899036</c:v>
                </c:pt>
                <c:pt idx="3">
                  <c:v>-183.28737540375005</c:v>
                </c:pt>
                <c:pt idx="4">
                  <c:v>182.37431878904681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E-40DE-9942-26F7667F1C17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-1%</c:v>
                </c:pt>
              </c:strCache>
            </c:strRef>
          </c:tx>
          <c:spPr>
            <a:solidFill>
              <a:srgbClr val="333333"/>
            </a:solidFill>
            <a:ln>
              <a:noFill/>
            </a:ln>
            <a:effectLst/>
          </c:spPr>
          <c:invertIfNegative val="0"/>
          <c:cat>
            <c:strRef>
              <c:f>Лист1!$A$3:$A$7</c:f>
              <c:strCache>
                <c:ptCount val="5"/>
                <c:pt idx="0">
                  <c:v>int_rate </c:v>
                </c:pt>
                <c:pt idx="1">
                  <c:v>CoF</c:v>
                </c:pt>
                <c:pt idx="2">
                  <c:v>Equity</c:v>
                </c:pt>
                <c:pt idx="3">
                  <c:v>discount_rate</c:v>
                </c:pt>
                <c:pt idx="4">
                  <c:v>tax_rate</c:v>
                </c:pt>
              </c:strCache>
            </c:strRef>
          </c:cat>
          <c:val>
            <c:numRef>
              <c:f>Лист1!$C$3:$C$7</c:f>
              <c:numCache>
                <c:formatCode>General</c:formatCode>
                <c:ptCount val="5"/>
                <c:pt idx="0">
                  <c:v>-2777.4235899010964</c:v>
                </c:pt>
                <c:pt idx="1">
                  <c:v>2583.6217591580098</c:v>
                </c:pt>
                <c:pt idx="2">
                  <c:v>477.05987869900855</c:v>
                </c:pt>
                <c:pt idx="3">
                  <c:v>186.37098866726228</c:v>
                </c:pt>
                <c:pt idx="4">
                  <c:v>-182.37431878903953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3E-40DE-9942-26F7667F1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3336415"/>
        <c:axId val="1893344735"/>
      </c:barChart>
      <c:catAx>
        <c:axId val="189333641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3344735"/>
        <c:crosses val="max"/>
        <c:auto val="1"/>
        <c:lblAlgn val="ctr"/>
        <c:lblOffset val="100"/>
        <c:noMultiLvlLbl val="0"/>
      </c:catAx>
      <c:valAx>
        <c:axId val="189334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333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16341080202345"/>
          <c:y val="0.47383081425166684"/>
          <c:w val="6.836584135035946E-2"/>
          <c:h val="0.146885937121436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D8D8D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Calculation!$B$44</c:f>
              <c:strCache>
                <c:ptCount val="1"/>
                <c:pt idx="0">
                  <c:v>accnt_CUR</c:v>
                </c:pt>
              </c:strCache>
            </c:strRef>
          </c:tx>
          <c:spPr>
            <a:solidFill>
              <a:srgbClr val="AFAFAF"/>
            </a:solidFill>
          </c:spPr>
          <c:cat>
            <c:numRef>
              <c:f>Calculation!$C$34:$AA$34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Calculation!$C$44:$AA$44</c:f>
              <c:numCache>
                <c:formatCode>0.0%</c:formatCode>
                <c:ptCount val="25"/>
                <c:pt idx="0" formatCode="0%">
                  <c:v>1</c:v>
                </c:pt>
                <c:pt idx="1">
                  <c:v>0.87942850213348922</c:v>
                </c:pt>
                <c:pt idx="2">
                  <c:v>0.84678254439927769</c:v>
                </c:pt>
                <c:pt idx="3">
                  <c:v>0.81409547026191065</c:v>
                </c:pt>
                <c:pt idx="4">
                  <c:v>0.78226728830877745</c:v>
                </c:pt>
                <c:pt idx="5">
                  <c:v>0.75408592275517228</c:v>
                </c:pt>
                <c:pt idx="6">
                  <c:v>0.72571391579580835</c:v>
                </c:pt>
                <c:pt idx="7">
                  <c:v>0.69708282442642555</c:v>
                </c:pt>
                <c:pt idx="8">
                  <c:v>0.66961494405576705</c:v>
                </c:pt>
                <c:pt idx="9">
                  <c:v>0.63742285168345802</c:v>
                </c:pt>
                <c:pt idx="10">
                  <c:v>0.61186351019224039</c:v>
                </c:pt>
                <c:pt idx="11">
                  <c:v>0.58452708364546191</c:v>
                </c:pt>
                <c:pt idx="12">
                  <c:v>0.55984815015933664</c:v>
                </c:pt>
                <c:pt idx="13">
                  <c:v>0.53810317110577155</c:v>
                </c:pt>
                <c:pt idx="14">
                  <c:v>0.5160816444724442</c:v>
                </c:pt>
                <c:pt idx="15">
                  <c:v>0.49064522977661246</c:v>
                </c:pt>
                <c:pt idx="16">
                  <c:v>0.46877910313933102</c:v>
                </c:pt>
                <c:pt idx="17">
                  <c:v>0.44313676021440357</c:v>
                </c:pt>
                <c:pt idx="18">
                  <c:v>0.41959339699861198</c:v>
                </c:pt>
                <c:pt idx="19">
                  <c:v>0.40241857582413088</c:v>
                </c:pt>
                <c:pt idx="20">
                  <c:v>0.38225995324345491</c:v>
                </c:pt>
                <c:pt idx="21">
                  <c:v>0.36196792605303946</c:v>
                </c:pt>
                <c:pt idx="22">
                  <c:v>0.34613625367012302</c:v>
                </c:pt>
                <c:pt idx="23">
                  <c:v>0.32699912163452477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1-4F5D-960C-417CB480B651}"/>
            </c:ext>
          </c:extLst>
        </c:ser>
        <c:ser>
          <c:idx val="1"/>
          <c:order val="1"/>
          <c:tx>
            <c:strRef>
              <c:f>Calculation!$B$45</c:f>
              <c:strCache>
                <c:ptCount val="1"/>
                <c:pt idx="0">
                  <c:v>accnt_DLQ</c:v>
                </c:pt>
              </c:strCache>
            </c:strRef>
          </c:tx>
          <c:spPr>
            <a:solidFill>
              <a:srgbClr val="FF7B75"/>
            </a:solidFill>
          </c:spPr>
          <c:cat>
            <c:numRef>
              <c:f>Calculation!$C$34:$AA$34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Calculation!$C$45:$AA$45</c:f>
              <c:numCache>
                <c:formatCode>0.0%</c:formatCode>
                <c:ptCount val="25"/>
                <c:pt idx="0" formatCode="0%">
                  <c:v>0</c:v>
                </c:pt>
                <c:pt idx="1">
                  <c:v>7.9802067029818652E-2</c:v>
                </c:pt>
                <c:pt idx="2">
                  <c:v>8.8663833980431414E-2</c:v>
                </c:pt>
                <c:pt idx="3">
                  <c:v>9.9540622687074448E-2</c:v>
                </c:pt>
                <c:pt idx="4">
                  <c:v>8.2850560877514537E-2</c:v>
                </c:pt>
                <c:pt idx="5">
                  <c:v>8.4616753414430437E-2</c:v>
                </c:pt>
                <c:pt idx="6">
                  <c:v>8.4365612509196983E-2</c:v>
                </c:pt>
                <c:pt idx="7">
                  <c:v>8.4373976767155384E-2</c:v>
                </c:pt>
                <c:pt idx="8">
                  <c:v>8.5001848047534287E-2</c:v>
                </c:pt>
                <c:pt idx="9">
                  <c:v>8.9230757878921665E-2</c:v>
                </c:pt>
                <c:pt idx="10">
                  <c:v>8.7672195345718559E-2</c:v>
                </c:pt>
                <c:pt idx="11">
                  <c:v>8.835388954872038E-2</c:v>
                </c:pt>
                <c:pt idx="12">
                  <c:v>8.83896342922912E-2</c:v>
                </c:pt>
                <c:pt idx="13">
                  <c:v>8.4969929354748744E-2</c:v>
                </c:pt>
                <c:pt idx="14">
                  <c:v>8.0787823016390661E-2</c:v>
                </c:pt>
                <c:pt idx="15">
                  <c:v>8.00947948152963E-2</c:v>
                </c:pt>
                <c:pt idx="16">
                  <c:v>7.5662986373224106E-2</c:v>
                </c:pt>
                <c:pt idx="17">
                  <c:v>7.5608133528049223E-2</c:v>
                </c:pt>
                <c:pt idx="18">
                  <c:v>7.3621174651519197E-2</c:v>
                </c:pt>
                <c:pt idx="19">
                  <c:v>6.6904709142582133E-2</c:v>
                </c:pt>
                <c:pt idx="20">
                  <c:v>6.4393106116611573E-2</c:v>
                </c:pt>
                <c:pt idx="21">
                  <c:v>6.3485963216796851E-2</c:v>
                </c:pt>
                <c:pt idx="22">
                  <c:v>5.7502927615495081E-2</c:v>
                </c:pt>
                <c:pt idx="23">
                  <c:v>5.6916039271863436E-2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71-4F5D-960C-417CB480B651}"/>
            </c:ext>
          </c:extLst>
        </c:ser>
        <c:ser>
          <c:idx val="2"/>
          <c:order val="2"/>
          <c:tx>
            <c:strRef>
              <c:f>Calculation!$B$46</c:f>
              <c:strCache>
                <c:ptCount val="1"/>
                <c:pt idx="0">
                  <c:v>accnt_CLO</c:v>
                </c:pt>
              </c:strCache>
            </c:strRef>
          </c:tx>
          <c:spPr>
            <a:solidFill>
              <a:srgbClr val="B1C5FA"/>
            </a:solidFill>
          </c:spPr>
          <c:cat>
            <c:numRef>
              <c:f>Calculation!$C$34:$AA$34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Calculation!$C$46:$AA$46</c:f>
              <c:numCache>
                <c:formatCode>0.0%</c:formatCode>
                <c:ptCount val="25"/>
                <c:pt idx="0" formatCode="0%">
                  <c:v>0</c:v>
                </c:pt>
                <c:pt idx="1">
                  <c:v>4.0769430836692204E-2</c:v>
                </c:pt>
                <c:pt idx="2">
                  <c:v>6.4553621620290894E-2</c:v>
                </c:pt>
                <c:pt idx="3">
                  <c:v>8.6363907051014988E-2</c:v>
                </c:pt>
                <c:pt idx="4">
                  <c:v>0.1088369122374374</c:v>
                </c:pt>
                <c:pt idx="5">
                  <c:v>0.13032893617888094</c:v>
                </c:pt>
                <c:pt idx="6">
                  <c:v>0.15354142934710266</c:v>
                </c:pt>
                <c:pt idx="7">
                  <c:v>0.17611786746415287</c:v>
                </c:pt>
                <c:pt idx="8">
                  <c:v>0.19693829985348713</c:v>
                </c:pt>
                <c:pt idx="9">
                  <c:v>0.21868410426713311</c:v>
                </c:pt>
                <c:pt idx="10">
                  <c:v>0.23982684834887791</c:v>
                </c:pt>
                <c:pt idx="11">
                  <c:v>0.26050486069454742</c:v>
                </c:pt>
                <c:pt idx="12">
                  <c:v>0.279522151680831</c:v>
                </c:pt>
                <c:pt idx="13">
                  <c:v>0.29747102845967227</c:v>
                </c:pt>
                <c:pt idx="14">
                  <c:v>0.3168602067001125</c:v>
                </c:pt>
                <c:pt idx="15">
                  <c:v>0.33723919981055095</c:v>
                </c:pt>
                <c:pt idx="16">
                  <c:v>0.3566115113944055</c:v>
                </c:pt>
                <c:pt idx="17">
                  <c:v>0.37649498140698673</c:v>
                </c:pt>
                <c:pt idx="18">
                  <c:v>0.39626318895145562</c:v>
                </c:pt>
                <c:pt idx="19">
                  <c:v>0.41437723382397335</c:v>
                </c:pt>
                <c:pt idx="20">
                  <c:v>0.43257065334465772</c:v>
                </c:pt>
                <c:pt idx="21">
                  <c:v>0.44982514035297672</c:v>
                </c:pt>
                <c:pt idx="22">
                  <c:v>0.46741445948432986</c:v>
                </c:pt>
                <c:pt idx="23">
                  <c:v>0.48391232136216478</c:v>
                </c:pt>
                <c:pt idx="24">
                  <c:v>0.86389556816222668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71-4F5D-960C-417CB480B651}"/>
            </c:ext>
          </c:extLst>
        </c:ser>
        <c:ser>
          <c:idx val="3"/>
          <c:order val="3"/>
          <c:tx>
            <c:strRef>
              <c:f>Calculation!$B$47</c:f>
              <c:strCache>
                <c:ptCount val="1"/>
                <c:pt idx="0">
                  <c:v>accnt_DEF</c:v>
                </c:pt>
              </c:strCache>
            </c:strRef>
          </c:tx>
          <c:spPr>
            <a:solidFill>
              <a:srgbClr val="333333"/>
            </a:solidFill>
          </c:spPr>
          <c:cat>
            <c:numRef>
              <c:f>Calculation!$C$34:$AA$34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Calculation!$C$47:$AA$47</c:f>
              <c:numCache>
                <c:formatCode>0.0%</c:formatCode>
                <c:ptCount val="25"/>
                <c:pt idx="0" formatCode="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2.6045238576270585E-2</c:v>
                </c:pt>
                <c:pt idx="5">
                  <c:v>3.0968387651516306E-2</c:v>
                </c:pt>
                <c:pt idx="6">
                  <c:v>3.6379042347892007E-2</c:v>
                </c:pt>
                <c:pt idx="7">
                  <c:v>4.2425331342266122E-2</c:v>
                </c:pt>
                <c:pt idx="8">
                  <c:v>4.8444908043211561E-2</c:v>
                </c:pt>
                <c:pt idx="9">
                  <c:v>5.4662286170487136E-2</c:v>
                </c:pt>
                <c:pt idx="10">
                  <c:v>6.0637446113163185E-2</c:v>
                </c:pt>
                <c:pt idx="11">
                  <c:v>6.6614166111270259E-2</c:v>
                </c:pt>
                <c:pt idx="12">
                  <c:v>7.2240063867541213E-2</c:v>
                </c:pt>
                <c:pt idx="13">
                  <c:v>7.9455871079807436E-2</c:v>
                </c:pt>
                <c:pt idx="14">
                  <c:v>8.6270325811052609E-2</c:v>
                </c:pt>
                <c:pt idx="15">
                  <c:v>9.2020775597540294E-2</c:v>
                </c:pt>
                <c:pt idx="16">
                  <c:v>9.8946399093039344E-2</c:v>
                </c:pt>
                <c:pt idx="17">
                  <c:v>0.10476012485056051</c:v>
                </c:pt>
                <c:pt idx="18">
                  <c:v>0.11052223939841326</c:v>
                </c:pt>
                <c:pt idx="19">
                  <c:v>0.1162994812093136</c:v>
                </c:pt>
                <c:pt idx="20">
                  <c:v>0.12077628729527583</c:v>
                </c:pt>
                <c:pt idx="21">
                  <c:v>0.12472097037718703</c:v>
                </c:pt>
                <c:pt idx="22">
                  <c:v>0.12894635923005204</c:v>
                </c:pt>
                <c:pt idx="23">
                  <c:v>0.13217251773144703</c:v>
                </c:pt>
                <c:pt idx="24">
                  <c:v>0.13610443183777327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71-4F5D-960C-417CB480B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067840"/>
        <c:axId val="1212564608"/>
      </c:areaChart>
      <c:catAx>
        <c:axId val="104506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2564608"/>
        <c:crosses val="autoZero"/>
        <c:auto val="1"/>
        <c:lblAlgn val="ctr"/>
        <c:lblOffset val="100"/>
        <c:noMultiLvlLbl val="0"/>
      </c:catAx>
      <c:valAx>
        <c:axId val="12125646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04506784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spPr>
    <a:solidFill>
      <a:srgbClr val="D8D8D8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Изменение</a:t>
            </a:r>
            <a:r>
              <a:rPr lang="ru-RU" baseline="0"/>
              <a:t>  </a:t>
            </a:r>
            <a:r>
              <a:rPr lang="en-GB" baseline="0"/>
              <a:t>PV</a:t>
            </a:r>
            <a:r>
              <a:rPr lang="ru-RU" baseline="0"/>
              <a:t> при изменении </a:t>
            </a:r>
            <a:r>
              <a:rPr lang="en-GB" baseline="0"/>
              <a:t>PD </a:t>
            </a:r>
            <a:r>
              <a:rPr lang="ru-RU" baseline="0"/>
              <a:t>и </a:t>
            </a:r>
            <a:r>
              <a:rPr lang="en-GB" baseline="0"/>
              <a:t>X-score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Calculation!$G$115</c:f>
              <c:strCache>
                <c:ptCount val="1"/>
                <c:pt idx="0">
                  <c:v>1%</c:v>
                </c:pt>
              </c:strCache>
            </c:strRef>
          </c:tx>
          <c:spPr>
            <a:solidFill>
              <a:srgbClr val="B1C5FA"/>
            </a:solidFill>
            <a:ln>
              <a:noFill/>
            </a:ln>
            <a:effectLst/>
          </c:spPr>
          <c:invertIfNegative val="0"/>
          <c:cat>
            <c:strRef>
              <c:f>Calculation!$H$114:$I$114</c:f>
              <c:strCache>
                <c:ptCount val="2"/>
                <c:pt idx="0">
                  <c:v>pd</c:v>
                </c:pt>
                <c:pt idx="1">
                  <c:v>X_score</c:v>
                </c:pt>
              </c:strCache>
            </c:strRef>
          </c:cat>
          <c:val>
            <c:numRef>
              <c:f>Calculation!$H$115:$I$115</c:f>
              <c:numCache>
                <c:formatCode>General</c:formatCode>
                <c:ptCount val="2"/>
                <c:pt idx="0">
                  <c:v>3687</c:v>
                </c:pt>
                <c:pt idx="1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6-574B-B79D-4F4400D0B0B8}"/>
            </c:ext>
          </c:extLst>
        </c:ser>
        <c:ser>
          <c:idx val="1"/>
          <c:order val="1"/>
          <c:tx>
            <c:strRef>
              <c:f>Calculation!$G$116</c:f>
              <c:strCache>
                <c:ptCount val="1"/>
                <c:pt idx="0">
                  <c:v>-1%</c:v>
                </c:pt>
              </c:strCache>
            </c:strRef>
          </c:tx>
          <c:spPr>
            <a:solidFill>
              <a:srgbClr val="333333"/>
            </a:solidFill>
            <a:ln>
              <a:noFill/>
            </a:ln>
            <a:effectLst/>
          </c:spPr>
          <c:invertIfNegative val="0"/>
          <c:cat>
            <c:strRef>
              <c:f>Calculation!$H$114:$I$114</c:f>
              <c:strCache>
                <c:ptCount val="2"/>
                <c:pt idx="0">
                  <c:v>pd</c:v>
                </c:pt>
                <c:pt idx="1">
                  <c:v>X_score</c:v>
                </c:pt>
              </c:strCache>
            </c:strRef>
          </c:cat>
          <c:val>
            <c:numRef>
              <c:f>Calculation!$H$116:$I$116</c:f>
              <c:numCache>
                <c:formatCode>General</c:formatCode>
                <c:ptCount val="2"/>
                <c:pt idx="0">
                  <c:v>-3621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6-574B-B79D-4F4400D0B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3788991"/>
        <c:axId val="368786655"/>
      </c:barChart>
      <c:catAx>
        <c:axId val="343788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786655"/>
        <c:crosses val="autoZero"/>
        <c:auto val="1"/>
        <c:lblAlgn val="ctr"/>
        <c:lblOffset val="100"/>
        <c:noMultiLvlLbl val="0"/>
      </c:catAx>
      <c:valAx>
        <c:axId val="36878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7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8D8D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Изменение</a:t>
            </a:r>
            <a:r>
              <a:rPr lang="en-US"/>
              <a:t> PV </a:t>
            </a:r>
            <a:r>
              <a:rPr lang="ru-RU"/>
              <a:t>при</a:t>
            </a:r>
            <a:r>
              <a:rPr lang="ru-RU" baseline="0"/>
              <a:t> изменении показателей</a:t>
            </a:r>
            <a:r>
              <a:rPr lang="ru-RU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1%</c:v>
                </c:pt>
              </c:strCache>
            </c:strRef>
          </c:tx>
          <c:spPr>
            <a:solidFill>
              <a:srgbClr val="D8D8D8"/>
            </a:solidFill>
            <a:ln>
              <a:noFill/>
            </a:ln>
            <a:effectLst/>
          </c:spPr>
          <c:invertIfNegative val="0"/>
          <c:cat>
            <c:strRef>
              <c:f>Лист1!$A$17:$A$18</c:f>
              <c:strCache>
                <c:ptCount val="2"/>
                <c:pt idx="0">
                  <c:v>operational_cost</c:v>
                </c:pt>
                <c:pt idx="1">
                  <c:v>collection_cost</c:v>
                </c:pt>
              </c:strCache>
            </c:strRef>
          </c:cat>
          <c:val>
            <c:numRef>
              <c:f>Лист1!$B$17:$B$18</c:f>
              <c:numCache>
                <c:formatCode>General</c:formatCode>
                <c:ptCount val="2"/>
                <c:pt idx="0">
                  <c:v>-1040.9573803388666</c:v>
                </c:pt>
                <c:pt idx="1">
                  <c:v>-137.9204788009738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9-46A8-90FA-EA456CDAFE67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-1%</c:v>
                </c:pt>
              </c:strCache>
            </c:strRef>
          </c:tx>
          <c:spPr>
            <a:solidFill>
              <a:srgbClr val="333333"/>
            </a:solidFill>
            <a:ln>
              <a:noFill/>
            </a:ln>
            <a:effectLst/>
          </c:spPr>
          <c:invertIfNegative val="0"/>
          <c:cat>
            <c:strRef>
              <c:f>Лист1!$A$17:$A$18</c:f>
              <c:strCache>
                <c:ptCount val="2"/>
                <c:pt idx="0">
                  <c:v>operational_cost</c:v>
                </c:pt>
                <c:pt idx="1">
                  <c:v>collection_cost</c:v>
                </c:pt>
              </c:strCache>
            </c:strRef>
          </c:cat>
          <c:val>
            <c:numRef>
              <c:f>Лист1!$C$17:$C$18</c:f>
              <c:numCache>
                <c:formatCode>General</c:formatCode>
                <c:ptCount val="2"/>
                <c:pt idx="0">
                  <c:v>1040.9573803388485</c:v>
                </c:pt>
                <c:pt idx="1">
                  <c:v>137.92047880099926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19-46A8-90FA-EA456CDAF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3336415"/>
        <c:axId val="1893344735"/>
      </c:barChart>
      <c:catAx>
        <c:axId val="189333641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3344735"/>
        <c:crosses val="max"/>
        <c:auto val="1"/>
        <c:lblAlgn val="ctr"/>
        <c:lblOffset val="100"/>
        <c:noMultiLvlLbl val="0"/>
      </c:catAx>
      <c:valAx>
        <c:axId val="189334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333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Изменение</a:t>
            </a:r>
            <a:r>
              <a:rPr lang="en-US"/>
              <a:t> PV </a:t>
            </a:r>
            <a:r>
              <a:rPr lang="ru-RU"/>
              <a:t>при</a:t>
            </a:r>
            <a:r>
              <a:rPr lang="ru-RU" baseline="0"/>
              <a:t> изменении показателей</a:t>
            </a:r>
            <a:r>
              <a:rPr lang="ru-RU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Лист1!$B$16</c:f>
              <c:strCache>
                <c:ptCount val="1"/>
                <c:pt idx="0">
                  <c:v>+100руб</c:v>
                </c:pt>
              </c:strCache>
            </c:strRef>
          </c:tx>
          <c:spPr>
            <a:solidFill>
              <a:srgbClr val="D8D8D8"/>
            </a:solidFill>
            <a:ln>
              <a:noFill/>
            </a:ln>
            <a:effectLst/>
          </c:spPr>
          <c:invertIfNegative val="0"/>
          <c:cat>
            <c:strRef>
              <c:f>Лист1!$A$17:$A$18</c:f>
              <c:strCache>
                <c:ptCount val="2"/>
                <c:pt idx="0">
                  <c:v>operational_cost</c:v>
                </c:pt>
                <c:pt idx="1">
                  <c:v>collection_cost</c:v>
                </c:pt>
              </c:strCache>
            </c:strRef>
          </c:cat>
          <c:val>
            <c:numRef>
              <c:f>Лист1!$B$17:$B$18</c:f>
              <c:numCache>
                <c:formatCode>General</c:formatCode>
                <c:ptCount val="2"/>
                <c:pt idx="0">
                  <c:v>-1040.9573803388666</c:v>
                </c:pt>
                <c:pt idx="1">
                  <c:v>-137.9204788009738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A-4EA3-BC83-601BE9E63A12}"/>
            </c:ext>
          </c:extLst>
        </c:ser>
        <c:ser>
          <c:idx val="1"/>
          <c:order val="1"/>
          <c:tx>
            <c:strRef>
              <c:f>Лист1!$C$16</c:f>
              <c:strCache>
                <c:ptCount val="1"/>
                <c:pt idx="0">
                  <c:v>-100руб</c:v>
                </c:pt>
              </c:strCache>
            </c:strRef>
          </c:tx>
          <c:spPr>
            <a:solidFill>
              <a:srgbClr val="333333"/>
            </a:solidFill>
            <a:ln>
              <a:noFill/>
            </a:ln>
            <a:effectLst/>
          </c:spPr>
          <c:invertIfNegative val="0"/>
          <c:cat>
            <c:strRef>
              <c:f>Лист1!$A$17:$A$18</c:f>
              <c:strCache>
                <c:ptCount val="2"/>
                <c:pt idx="0">
                  <c:v>operational_cost</c:v>
                </c:pt>
                <c:pt idx="1">
                  <c:v>collection_cost</c:v>
                </c:pt>
              </c:strCache>
            </c:strRef>
          </c:cat>
          <c:val>
            <c:numRef>
              <c:f>Лист1!$C$17:$C$18</c:f>
              <c:numCache>
                <c:formatCode>General</c:formatCode>
                <c:ptCount val="2"/>
                <c:pt idx="0">
                  <c:v>1040.9573803388485</c:v>
                </c:pt>
                <c:pt idx="1">
                  <c:v>137.92047880099926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A-4EA3-BC83-601BE9E63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3336415"/>
        <c:axId val="1893344735"/>
      </c:barChart>
      <c:catAx>
        <c:axId val="189333641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3344735"/>
        <c:crosses val="max"/>
        <c:auto val="1"/>
        <c:lblAlgn val="ctr"/>
        <c:lblOffset val="100"/>
        <c:noMultiLvlLbl val="0"/>
      </c:catAx>
      <c:valAx>
        <c:axId val="189334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333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572052</xdr:colOff>
      <xdr:row>6</xdr:row>
      <xdr:rowOff>95664</xdr:rowOff>
    </xdr:from>
    <xdr:to>
      <xdr:col>8</xdr:col>
      <xdr:colOff>127000</xdr:colOff>
      <xdr:row>22</xdr:row>
      <xdr:rowOff>9939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512784</xdr:colOff>
      <xdr:row>7</xdr:row>
      <xdr:rowOff>104774</xdr:rowOff>
    </xdr:from>
    <xdr:to>
      <xdr:col>17</xdr:col>
      <xdr:colOff>95250</xdr:colOff>
      <xdr:row>29</xdr:row>
      <xdr:rowOff>86528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249836</xdr:colOff>
      <xdr:row>28</xdr:row>
      <xdr:rowOff>83279</xdr:rowOff>
    </xdr:from>
    <xdr:to>
      <xdr:col>4</xdr:col>
      <xdr:colOff>1249181</xdr:colOff>
      <xdr:row>32</xdr:row>
      <xdr:rowOff>104098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D8EAC24D-EEAA-EC15-1225-BE1E1CA1DD52}"/>
            </a:ext>
          </a:extLst>
        </xdr:cNvPr>
        <xdr:cNvSpPr/>
      </xdr:nvSpPr>
      <xdr:spPr>
        <a:xfrm>
          <a:off x="3289508" y="5704590"/>
          <a:ext cx="4850984" cy="77032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>
              <a:solidFill>
                <a:schemeClr val="tx1"/>
              </a:solidFill>
            </a:rPr>
            <a:t>DEF_Rate</a:t>
          </a:r>
          <a:r>
            <a:rPr lang="en-GB" sz="1400" baseline="0">
              <a:solidFill>
                <a:schemeClr val="tx1"/>
              </a:solidFill>
            </a:rPr>
            <a:t>, DLNQ_Ratio, CLO_Rate </a:t>
          </a:r>
          <a:r>
            <a:rPr lang="ru-RU" sz="1400" baseline="0">
              <a:solidFill>
                <a:schemeClr val="tx1"/>
              </a:solidFill>
            </a:rPr>
            <a:t>взяты из листа </a:t>
          </a:r>
          <a:r>
            <a:rPr lang="en-GB" sz="1400" baseline="0">
              <a:solidFill>
                <a:schemeClr val="tx1"/>
              </a:solidFill>
            </a:rPr>
            <a:t>Rate&amp;Ratio </a:t>
          </a:r>
          <a:r>
            <a:rPr lang="ru-RU" sz="1400" baseline="0">
              <a:solidFill>
                <a:schemeClr val="tx1"/>
              </a:solidFill>
            </a:rPr>
            <a:t>(временные ряды, полученные из прошлой домашки).</a:t>
          </a:r>
        </a:p>
        <a:p>
          <a:pPr algn="l"/>
          <a:r>
            <a:rPr lang="en-GB" sz="1400" baseline="0">
              <a:solidFill>
                <a:schemeClr val="tx1"/>
              </a:solidFill>
            </a:rPr>
            <a:t>INS_Ratio </a:t>
          </a:r>
          <a:r>
            <a:rPr lang="ru-RU" sz="1400" baseline="0">
              <a:solidFill>
                <a:schemeClr val="tx1"/>
              </a:solidFill>
            </a:rPr>
            <a:t>берется из начальных условий ДЗ</a:t>
          </a:r>
          <a:endParaRPr lang="ru-RU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186336</xdr:colOff>
      <xdr:row>71</xdr:row>
      <xdr:rowOff>146779</xdr:rowOff>
    </xdr:from>
    <xdr:to>
      <xdr:col>4</xdr:col>
      <xdr:colOff>1185681</xdr:colOff>
      <xdr:row>77</xdr:row>
      <xdr:rowOff>38100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EDCFF10-AB18-1844-4359-E42C1E05762F}"/>
            </a:ext>
          </a:extLst>
        </xdr:cNvPr>
        <xdr:cNvSpPr/>
      </xdr:nvSpPr>
      <xdr:spPr>
        <a:xfrm>
          <a:off x="3234336" y="14091379"/>
          <a:ext cx="4860145" cy="104702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400">
              <a:solidFill>
                <a:schemeClr val="tx1"/>
              </a:solidFill>
            </a:rPr>
            <a:t>Предположение в</a:t>
          </a:r>
          <a:r>
            <a:rPr lang="ru-RU" sz="1400" baseline="0">
              <a:solidFill>
                <a:schemeClr val="tx1"/>
              </a:solidFill>
            </a:rPr>
            <a:t> модели: </a:t>
          </a:r>
          <a:r>
            <a:rPr lang="en-GB" sz="1400" baseline="0">
              <a:solidFill>
                <a:schemeClr val="tx1"/>
              </a:solidFill>
            </a:rPr>
            <a:t>1) </a:t>
          </a:r>
          <a:r>
            <a:rPr lang="ru-RU" sz="1400" baseline="0">
              <a:solidFill>
                <a:schemeClr val="tx1"/>
              </a:solidFill>
            </a:rPr>
            <a:t>с</a:t>
          </a:r>
          <a:r>
            <a:rPr lang="ru-RU" sz="1400">
              <a:solidFill>
                <a:schemeClr val="tx1"/>
              </a:solidFill>
            </a:rPr>
            <a:t>траховку</a:t>
          </a:r>
          <a:r>
            <a:rPr lang="ru-RU" sz="1400" baseline="0">
              <a:solidFill>
                <a:schemeClr val="tx1"/>
              </a:solidFill>
            </a:rPr>
            <a:t> могут выплачивать только те клиенты, которые на предыдущий месяц были без просрочек</a:t>
          </a:r>
          <a:r>
            <a:rPr lang="en-GB" sz="1400" baseline="0">
              <a:solidFill>
                <a:schemeClr val="tx1"/>
              </a:solidFill>
            </a:rPr>
            <a:t>, 2) </a:t>
          </a:r>
          <a:r>
            <a:rPr lang="ru-RU" sz="1400" baseline="0">
              <a:solidFill>
                <a:schemeClr val="tx1"/>
              </a:solidFill>
            </a:rPr>
            <a:t>страховка платится дополнительно (учитывается в </a:t>
          </a:r>
          <a:r>
            <a:rPr lang="en-GB" sz="1400" baseline="0">
              <a:solidFill>
                <a:schemeClr val="tx1"/>
              </a:solidFill>
            </a:rPr>
            <a:t>Gross_profit </a:t>
          </a:r>
          <a:r>
            <a:rPr lang="ru-RU" sz="1400" baseline="0">
              <a:solidFill>
                <a:schemeClr val="tx1"/>
              </a:solidFill>
            </a:rPr>
            <a:t>отдельно)</a:t>
          </a:r>
        </a:p>
      </xdr:txBody>
    </xdr:sp>
    <xdr:clientData/>
  </xdr:twoCellAnchor>
  <xdr:twoCellAnchor>
    <xdr:from>
      <xdr:col>1</xdr:col>
      <xdr:colOff>826842</xdr:colOff>
      <xdr:row>112</xdr:row>
      <xdr:rowOff>2702</xdr:rowOff>
    </xdr:from>
    <xdr:to>
      <xdr:col>5</xdr:col>
      <xdr:colOff>185579</xdr:colOff>
      <xdr:row>126</xdr:row>
      <xdr:rowOff>90534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8529A02-D9C3-FB18-58B6-C0F859B35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409574</xdr:colOff>
      <xdr:row>0</xdr:row>
      <xdr:rowOff>0</xdr:rowOff>
    </xdr:from>
    <xdr:to>
      <xdr:col>15</xdr:col>
      <xdr:colOff>171449</xdr:colOff>
      <xdr:row>13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523875</xdr:colOff>
      <xdr:row>14</xdr:row>
      <xdr:rowOff>152400</xdr:rowOff>
    </xdr:from>
    <xdr:to>
      <xdr:col>14</xdr:col>
      <xdr:colOff>285750</xdr:colOff>
      <xdr:row>30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5"/>
  <sheetViews>
    <sheetView zoomScale="108" workbookViewId="0">
      <selection activeCell="I10" sqref="I10"/>
    </sheetView>
  </sheetViews>
  <sheetFormatPr baseColWidth="10" defaultColWidth="8.83203125" defaultRowHeight="15" x14ac:dyDescent="0.2"/>
  <sheetData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2:CI123"/>
  <sheetViews>
    <sheetView topLeftCell="A96" zoomScaleNormal="100" workbookViewId="0">
      <pane xSplit="1" topLeftCell="B1" activePane="topRight" state="frozen"/>
      <selection activeCell="A12" sqref="A12"/>
      <selection pane="topRight" activeCell="D72" sqref="D72"/>
    </sheetView>
  </sheetViews>
  <sheetFormatPr baseColWidth="10" defaultColWidth="9.1640625" defaultRowHeight="15" x14ac:dyDescent="0.2"/>
  <cols>
    <col min="1" max="1" width="40" style="8" customWidth="1"/>
    <col min="2" max="2" width="19.5" style="8" customWidth="1"/>
    <col min="3" max="3" width="19.6640625" style="8" customWidth="1"/>
    <col min="4" max="4" width="11.5" style="9" customWidth="1"/>
    <col min="5" max="5" width="18" style="8" customWidth="1"/>
    <col min="6" max="6" width="12.6640625" style="8" bestFit="1" customWidth="1"/>
    <col min="7" max="7" width="13.5" style="8" bestFit="1" customWidth="1"/>
    <col min="8" max="8" width="12.6640625" style="8" bestFit="1" customWidth="1"/>
    <col min="9" max="9" width="13" style="8" bestFit="1" customWidth="1"/>
    <col min="10" max="10" width="14.1640625" style="8" bestFit="1" customWidth="1"/>
    <col min="11" max="11" width="10" style="8" customWidth="1"/>
    <col min="12" max="15" width="13" style="8" bestFit="1" customWidth="1"/>
    <col min="16" max="16" width="12.83203125" style="8" bestFit="1" customWidth="1"/>
    <col min="17" max="27" width="11.83203125" style="8" bestFit="1" customWidth="1"/>
    <col min="28" max="87" width="9.1640625" style="8"/>
    <col min="88" max="16384" width="9.1640625" style="1"/>
  </cols>
  <sheetData>
    <row r="2" spans="1:87" x14ac:dyDescent="0.2">
      <c r="CE2" s="1"/>
      <c r="CF2" s="1"/>
      <c r="CG2" s="1"/>
      <c r="CH2" s="1"/>
      <c r="CI2" s="1"/>
    </row>
    <row r="3" spans="1:87" x14ac:dyDescent="0.2">
      <c r="CE3" s="1"/>
      <c r="CF3" s="1"/>
      <c r="CG3" s="1"/>
      <c r="CH3" s="1"/>
      <c r="CI3" s="1"/>
    </row>
    <row r="4" spans="1:87" x14ac:dyDescent="0.2">
      <c r="CE4" s="1"/>
      <c r="CF4" s="1"/>
      <c r="CG4" s="1"/>
      <c r="CH4" s="1"/>
      <c r="CI4" s="1"/>
    </row>
    <row r="5" spans="1:87" x14ac:dyDescent="0.2">
      <c r="CE5" s="1"/>
      <c r="CF5" s="1"/>
      <c r="CG5" s="1"/>
      <c r="CH5" s="1"/>
      <c r="CI5" s="1"/>
    </row>
    <row r="6" spans="1:87" x14ac:dyDescent="0.2">
      <c r="CE6" s="1"/>
      <c r="CF6" s="1"/>
      <c r="CG6" s="1"/>
      <c r="CH6" s="1"/>
      <c r="CI6" s="1"/>
    </row>
    <row r="7" spans="1:87" ht="17" x14ac:dyDescent="0.2">
      <c r="A7" s="63" t="s">
        <v>3</v>
      </c>
      <c r="B7" s="10"/>
      <c r="C7" s="10"/>
      <c r="CE7" s="1"/>
      <c r="CF7" s="1"/>
      <c r="CG7" s="1"/>
      <c r="CH7" s="1"/>
      <c r="CI7" s="1"/>
    </row>
    <row r="8" spans="1:87" ht="16" x14ac:dyDescent="0.2">
      <c r="A8" s="12" t="s">
        <v>4</v>
      </c>
      <c r="B8" s="11" t="s">
        <v>5</v>
      </c>
      <c r="C8" s="13">
        <v>0.05</v>
      </c>
      <c r="CE8" s="1"/>
      <c r="CF8" s="1"/>
      <c r="CG8" s="1"/>
      <c r="CH8" s="1"/>
      <c r="CI8" s="1"/>
    </row>
    <row r="9" spans="1:87" ht="16" x14ac:dyDescent="0.2">
      <c r="A9" s="14" t="s">
        <v>6</v>
      </c>
      <c r="B9" s="11" t="s">
        <v>7</v>
      </c>
      <c r="C9" s="13">
        <v>0.15</v>
      </c>
      <c r="CE9" s="1"/>
      <c r="CF9" s="1"/>
      <c r="CG9" s="1"/>
      <c r="CH9" s="1"/>
      <c r="CI9" s="1"/>
    </row>
    <row r="10" spans="1:87" ht="16" x14ac:dyDescent="0.2">
      <c r="A10" s="14" t="s">
        <v>8</v>
      </c>
      <c r="B10" s="11" t="s">
        <v>9</v>
      </c>
      <c r="C10" s="15">
        <v>500000</v>
      </c>
      <c r="CE10" s="1"/>
      <c r="CF10" s="1"/>
      <c r="CG10" s="1"/>
      <c r="CH10" s="1"/>
      <c r="CI10" s="1"/>
    </row>
    <row r="11" spans="1:87" ht="16" x14ac:dyDescent="0.2">
      <c r="A11" s="14" t="s">
        <v>10</v>
      </c>
      <c r="B11" s="11" t="s">
        <v>10</v>
      </c>
      <c r="C11" s="15">
        <v>24</v>
      </c>
      <c r="CE11" s="1"/>
      <c r="CF11" s="1"/>
      <c r="CG11" s="1"/>
      <c r="CH11" s="1"/>
      <c r="CI11" s="1"/>
    </row>
    <row r="12" spans="1:87" ht="16" x14ac:dyDescent="0.2">
      <c r="A12" s="16" t="s">
        <v>11</v>
      </c>
      <c r="B12" s="11" t="s">
        <v>12</v>
      </c>
      <c r="C12" s="17">
        <f>initial_amount * (interest_rate/12)/(1-POWER(1+interest_rate/12,-initial_term))</f>
        <v>26435.54862662495</v>
      </c>
      <c r="CE12" s="1"/>
      <c r="CF12" s="1"/>
      <c r="CG12" s="1"/>
      <c r="CH12" s="1"/>
      <c r="CI12" s="1"/>
    </row>
    <row r="13" spans="1:87" x14ac:dyDescent="0.2">
      <c r="A13" s="18"/>
      <c r="B13" s="18"/>
      <c r="C13" s="18"/>
      <c r="CE13" s="1"/>
      <c r="CF13" s="1"/>
      <c r="CG13" s="1"/>
      <c r="CH13" s="1"/>
      <c r="CI13" s="1"/>
    </row>
    <row r="14" spans="1:87" ht="17" x14ac:dyDescent="0.2">
      <c r="A14" s="63" t="s">
        <v>13</v>
      </c>
      <c r="B14" s="18"/>
      <c r="C14" s="18"/>
      <c r="CE14" s="1"/>
      <c r="CF14" s="1"/>
      <c r="CG14" s="1"/>
      <c r="CH14" s="1"/>
      <c r="CI14" s="1"/>
    </row>
    <row r="15" spans="1:87" ht="16" x14ac:dyDescent="0.2">
      <c r="A15" s="12" t="s">
        <v>14</v>
      </c>
      <c r="B15" s="11" t="s">
        <v>15</v>
      </c>
      <c r="C15" s="19">
        <v>0.24</v>
      </c>
      <c r="CE15" s="1"/>
      <c r="CF15" s="1"/>
      <c r="CG15" s="1"/>
      <c r="CH15" s="1"/>
      <c r="CI15" s="1"/>
    </row>
    <row r="16" spans="1:87" ht="16" x14ac:dyDescent="0.2">
      <c r="A16" s="16" t="s">
        <v>16</v>
      </c>
      <c r="B16" s="20" t="s">
        <v>16</v>
      </c>
      <c r="C16" s="13">
        <v>0.01</v>
      </c>
      <c r="CE16" s="1"/>
      <c r="CF16" s="1"/>
      <c r="CG16" s="1"/>
      <c r="CH16" s="1"/>
      <c r="CI16" s="1"/>
    </row>
    <row r="17" spans="1:87" x14ac:dyDescent="0.2">
      <c r="A17" s="18"/>
      <c r="B17" s="18"/>
      <c r="C17" s="18"/>
      <c r="CE17" s="1"/>
      <c r="CF17" s="1"/>
      <c r="CG17" s="1"/>
      <c r="CH17" s="1"/>
      <c r="CI17" s="1"/>
    </row>
    <row r="18" spans="1:87" ht="17" x14ac:dyDescent="0.2">
      <c r="A18" s="63" t="s">
        <v>17</v>
      </c>
      <c r="B18" s="18"/>
      <c r="C18" s="18"/>
      <c r="CE18" s="1"/>
      <c r="CF18" s="1"/>
      <c r="CG18" s="1"/>
      <c r="CH18" s="1"/>
      <c r="CI18" s="1"/>
    </row>
    <row r="19" spans="1:87" ht="16" x14ac:dyDescent="0.2">
      <c r="A19" s="12" t="s">
        <v>18</v>
      </c>
      <c r="B19" s="11" t="s">
        <v>19</v>
      </c>
      <c r="C19" s="19">
        <v>0.17</v>
      </c>
    </row>
    <row r="20" spans="1:87" ht="16" x14ac:dyDescent="0.2">
      <c r="A20" s="14" t="s">
        <v>20</v>
      </c>
      <c r="B20" s="11" t="s">
        <v>21</v>
      </c>
      <c r="C20" s="19">
        <v>0.2</v>
      </c>
    </row>
    <row r="21" spans="1:87" ht="16" x14ac:dyDescent="0.2">
      <c r="A21" s="14" t="s">
        <v>22</v>
      </c>
      <c r="B21" s="11" t="s">
        <v>23</v>
      </c>
      <c r="C21" s="19">
        <v>0.3</v>
      </c>
    </row>
    <row r="22" spans="1:87" ht="16" x14ac:dyDescent="0.2">
      <c r="A22" s="16" t="s">
        <v>24</v>
      </c>
      <c r="B22" s="11" t="s">
        <v>25</v>
      </c>
      <c r="C22" s="21">
        <v>0.125</v>
      </c>
    </row>
    <row r="23" spans="1:87" x14ac:dyDescent="0.2">
      <c r="A23" s="18"/>
      <c r="B23" s="18"/>
      <c r="C23" s="18"/>
    </row>
    <row r="24" spans="1:87" ht="17" x14ac:dyDescent="0.2">
      <c r="A24" s="63" t="s">
        <v>26</v>
      </c>
      <c r="B24" s="18"/>
      <c r="C24" s="18"/>
    </row>
    <row r="25" spans="1:87" ht="16" x14ac:dyDescent="0.2">
      <c r="A25" s="12" t="s">
        <v>27</v>
      </c>
      <c r="B25" s="11" t="s">
        <v>28</v>
      </c>
      <c r="C25" s="15">
        <v>100</v>
      </c>
    </row>
    <row r="26" spans="1:87" ht="16" x14ac:dyDescent="0.2">
      <c r="A26" s="14" t="s">
        <v>29</v>
      </c>
      <c r="B26" s="11" t="s">
        <v>30</v>
      </c>
      <c r="C26" s="15">
        <v>500</v>
      </c>
    </row>
    <row r="27" spans="1:87" ht="16" x14ac:dyDescent="0.2">
      <c r="A27" s="16" t="s">
        <v>31</v>
      </c>
      <c r="B27" s="11" t="s">
        <v>32</v>
      </c>
      <c r="C27" s="19">
        <v>0.2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87" x14ac:dyDescent="0.2">
      <c r="A28" s="18"/>
      <c r="B28" s="22"/>
      <c r="C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87" x14ac:dyDescent="0.2">
      <c r="A29" s="18"/>
      <c r="B29" s="22"/>
      <c r="C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87" x14ac:dyDescent="0.2">
      <c r="A30" s="18"/>
      <c r="B30" s="22"/>
      <c r="C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87" x14ac:dyDescent="0.2">
      <c r="A31" s="18"/>
      <c r="B31" s="22"/>
      <c r="C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87" x14ac:dyDescent="0.2">
      <c r="A32" s="18"/>
      <c r="B32" s="22"/>
      <c r="C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87" x14ac:dyDescent="0.2">
      <c r="A33" s="18"/>
      <c r="B33" s="22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87" x14ac:dyDescent="0.2">
      <c r="A34" s="18"/>
      <c r="C34" s="9">
        <v>0</v>
      </c>
      <c r="D34" s="9">
        <v>1</v>
      </c>
      <c r="E34" s="9">
        <v>2</v>
      </c>
      <c r="F34" s="9">
        <v>3</v>
      </c>
      <c r="G34" s="9">
        <v>4</v>
      </c>
      <c r="H34" s="9">
        <v>5</v>
      </c>
      <c r="I34" s="9">
        <v>6</v>
      </c>
      <c r="J34" s="9">
        <v>7</v>
      </c>
      <c r="K34" s="9">
        <v>8</v>
      </c>
      <c r="L34" s="9">
        <v>9</v>
      </c>
      <c r="M34" s="9">
        <v>10</v>
      </c>
      <c r="N34" s="9">
        <v>11</v>
      </c>
      <c r="O34" s="9">
        <v>12</v>
      </c>
      <c r="P34" s="9">
        <v>13</v>
      </c>
      <c r="Q34" s="9">
        <v>14</v>
      </c>
      <c r="R34" s="9">
        <v>15</v>
      </c>
      <c r="S34" s="9">
        <v>16</v>
      </c>
      <c r="T34" s="9">
        <v>17</v>
      </c>
      <c r="U34" s="9">
        <v>18</v>
      </c>
      <c r="V34" s="9">
        <v>19</v>
      </c>
      <c r="W34" s="9">
        <v>20</v>
      </c>
      <c r="X34" s="9">
        <v>21</v>
      </c>
      <c r="Y34" s="9">
        <v>22</v>
      </c>
      <c r="Z34" s="9">
        <v>23</v>
      </c>
      <c r="AA34" s="9">
        <v>24</v>
      </c>
    </row>
    <row r="35" spans="1:87" s="5" customFormat="1" x14ac:dyDescent="0.2">
      <c r="A35" s="23"/>
      <c r="B35" s="24" t="s">
        <v>33</v>
      </c>
      <c r="C35" s="25">
        <f>'Rate&amp;Ratio'!B36</f>
        <v>0</v>
      </c>
      <c r="D35" s="25">
        <f>'Rate&amp;Ratio'!C36</f>
        <v>0</v>
      </c>
      <c r="E35" s="25">
        <f>'Rate&amp;Ratio'!D36</f>
        <v>0</v>
      </c>
      <c r="F35" s="25">
        <f>'Rate&amp;Ratio'!E36</f>
        <v>0</v>
      </c>
      <c r="G35" s="25">
        <f>'Rate&amp;Ratio'!F36</f>
        <v>2.8507234748359356E-2</v>
      </c>
      <c r="H35" s="25">
        <f>'Rate&amp;Ratio'!G36</f>
        <v>5.6907265060781136E-3</v>
      </c>
      <c r="I35" s="25">
        <f>'Rate&amp;Ratio'!H36</f>
        <v>6.4512190673892151E-3</v>
      </c>
      <c r="J35" s="25">
        <f>'Rate&amp;Ratio'!I36</f>
        <v>7.4638214929653281E-3</v>
      </c>
      <c r="K35" s="25">
        <f>'Rate&amp;Ratio'!J36</f>
        <v>7.7030191454617323E-3</v>
      </c>
      <c r="L35" s="25">
        <f>'Rate&amp;Ratio'!K36</f>
        <v>8.2391197656047667E-3</v>
      </c>
      <c r="M35" s="25">
        <f>'Rate&amp;Ratio'!L36</f>
        <v>8.2228449209445671E-3</v>
      </c>
      <c r="N35" s="25">
        <f>'Rate&amp;Ratio'!M36</f>
        <v>8.5438383642059187E-3</v>
      </c>
      <c r="O35" s="25">
        <f>'Rate&amp;Ratio'!N36</f>
        <v>8.360910741114707E-3</v>
      </c>
      <c r="P35" s="25">
        <f>'Rate&amp;Ratio'!O36</f>
        <v>1.1131420267904289E-2</v>
      </c>
      <c r="Q35" s="25">
        <f>'Rate&amp;Ratio'!P36</f>
        <v>1.093684629653973E-2</v>
      </c>
      <c r="R35" s="25">
        <f>'Rate&amp;Ratio'!Q36</f>
        <v>9.6343507244241126E-3</v>
      </c>
      <c r="S35" s="25">
        <f>'Rate&amp;Ratio'!R36</f>
        <v>1.2134462622366499E-2</v>
      </c>
      <c r="T35" s="25">
        <f>'Rate&amp;Ratio'!S36</f>
        <v>1.0678317987366211E-2</v>
      </c>
      <c r="U35" s="25">
        <f>'Rate&amp;Ratio'!T36</f>
        <v>1.1107800033041923E-2</v>
      </c>
      <c r="V35" s="25">
        <f>'Rate&amp;Ratio'!U36</f>
        <v>1.1713445106805392E-2</v>
      </c>
      <c r="W35" s="25">
        <f>'Rate&amp;Ratio'!V36</f>
        <v>9.5388535565196775E-3</v>
      </c>
      <c r="X35" s="25">
        <f>'Rate&amp;Ratio'!W36</f>
        <v>8.8316490825404124E-3</v>
      </c>
      <c r="Y35" s="25">
        <f>'Rate&amp;Ratio'!X36</f>
        <v>9.9314848434377025E-3</v>
      </c>
      <c r="Z35" s="25">
        <f>'Rate&amp;Ratio'!Y36</f>
        <v>7.992679231781822E-3</v>
      </c>
      <c r="AA35" s="25">
        <f>'Rate&amp;Ratio'!Z36</f>
        <v>1.0241622386162981E-2</v>
      </c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</row>
    <row r="36" spans="1:87" s="5" customFormat="1" x14ac:dyDescent="0.2">
      <c r="A36" s="23"/>
      <c r="B36" s="24" t="s">
        <v>34</v>
      </c>
      <c r="C36" s="25">
        <f>'Rate&amp;Ratio'!B37</f>
        <v>0</v>
      </c>
      <c r="D36" s="25">
        <f>'Rate&amp;Ratio'!C37</f>
        <v>8.3193832218489736E-2</v>
      </c>
      <c r="E36" s="25">
        <f>'Rate&amp;Ratio'!D37</f>
        <v>9.4782379866611324E-2</v>
      </c>
      <c r="F36" s="25">
        <f>'Rate&amp;Ratio'!E37</f>
        <v>0.10894996755850858</v>
      </c>
      <c r="G36" s="25">
        <f>'Rate&amp;Ratio'!F37</f>
        <v>9.5767947633309938E-2</v>
      </c>
      <c r="H36" s="25">
        <f>'Rate&amp;Ratio'!G37</f>
        <v>0.10089004818832749</v>
      </c>
      <c r="I36" s="25">
        <f>'Rate&amp;Ratio'!H37</f>
        <v>0.1041448519082095</v>
      </c>
      <c r="J36" s="25">
        <f>'Rate&amp;Ratio'!I37</f>
        <v>0.10797010997701258</v>
      </c>
      <c r="K36" s="25">
        <f>'Rate&amp;Ratio'!J37</f>
        <v>0.11264240199401522</v>
      </c>
      <c r="L36" s="25">
        <f>'Rate&amp;Ratio'!K37</f>
        <v>0.12279682740812374</v>
      </c>
      <c r="M36" s="25">
        <f>'Rate&amp;Ratio'!L37</f>
        <v>0.12532912137529367</v>
      </c>
      <c r="N36" s="25">
        <f>'Rate&amp;Ratio'!M37</f>
        <v>0.13130686268226954</v>
      </c>
      <c r="O36" s="25">
        <f>'Rate&amp;Ratio'!N37</f>
        <v>0.13635372144661975</v>
      </c>
      <c r="P36" s="25">
        <f>'Rate&amp;Ratio'!O37</f>
        <v>0.1363723282098786</v>
      </c>
      <c r="Q36" s="25">
        <f>'Rate&amp;Ratio'!P37</f>
        <v>0.13535258112009541</v>
      </c>
      <c r="R36" s="25">
        <f>'Rate&amp;Ratio'!Q37</f>
        <v>0.14033498854853535</v>
      </c>
      <c r="S36" s="25">
        <f>'Rate&amp;Ratio'!R37</f>
        <v>0.13897343322770286</v>
      </c>
      <c r="T36" s="25">
        <f>'Rate&amp;Ratio'!S37</f>
        <v>0.14575205354327259</v>
      </c>
      <c r="U36" s="25">
        <f>'Rate&amp;Ratio'!T37</f>
        <v>0.14926804454541429</v>
      </c>
      <c r="V36" s="25">
        <f>'Rate&amp;Ratio'!U37</f>
        <v>0.14255569942012869</v>
      </c>
      <c r="W36" s="25">
        <f>'Rate&amp;Ratio'!V37</f>
        <v>0.1441680623633689</v>
      </c>
      <c r="X36" s="25">
        <f>'Rate&amp;Ratio'!W37</f>
        <v>0.14921937445618708</v>
      </c>
      <c r="Y36" s="25">
        <f>'Rate&amp;Ratio'!X37</f>
        <v>0.14246121358274577</v>
      </c>
      <c r="Z36" s="25">
        <f>'Rate&amp;Ratio'!Y37</f>
        <v>0.14825160625980471</v>
      </c>
      <c r="AA36" s="25">
        <f>'Rate&amp;Ratio'!Z37</f>
        <v>0.14795829369582311</v>
      </c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</row>
    <row r="37" spans="1:87" s="5" customFormat="1" x14ac:dyDescent="0.2">
      <c r="A37" s="23"/>
      <c r="B37" s="24" t="s">
        <v>35</v>
      </c>
      <c r="C37" s="25">
        <f>'Rate&amp;Ratio'!B38</f>
        <v>0</v>
      </c>
      <c r="D37" s="25">
        <f>'Rate&amp;Ratio'!C38</f>
        <v>4.0769430836692204E-2</v>
      </c>
      <c r="E37" s="25">
        <f>'Rate&amp;Ratio'!D38</f>
        <v>2.4795071746248169E-2</v>
      </c>
      <c r="F37" s="25">
        <f>'Rate&amp;Ratio'!E38</f>
        <v>2.3315377486950978E-2</v>
      </c>
      <c r="G37" s="25">
        <f>'Rate&amp;Ratio'!F38</f>
        <v>2.4597326397083612E-2</v>
      </c>
      <c r="H37" s="25">
        <f>'Rate&amp;Ratio'!G38</f>
        <v>2.4842885812214371E-2</v>
      </c>
      <c r="I37" s="25">
        <f>'Rate&amp;Ratio'!H38</f>
        <v>2.7676665197056877E-2</v>
      </c>
      <c r="J37" s="25">
        <f>'Rate&amp;Ratio'!I38</f>
        <v>2.7869409518703335E-2</v>
      </c>
      <c r="K37" s="25">
        <f>'Rate&amp;Ratio'!J38</f>
        <v>2.6643100882267016E-2</v>
      </c>
      <c r="L37" s="25">
        <f>'Rate&amp;Ratio'!K38</f>
        <v>2.8817016320343353E-2</v>
      </c>
      <c r="M37" s="25">
        <f>'Rate&amp;Ratio'!L38</f>
        <v>2.9096042190553235E-2</v>
      </c>
      <c r="N37" s="25">
        <f>'Rate&amp;Ratio'!M38</f>
        <v>2.9559623879052269E-2</v>
      </c>
      <c r="O37" s="25">
        <f>'Rate&amp;Ratio'!N38</f>
        <v>2.8262488826230343E-2</v>
      </c>
      <c r="P37" s="25">
        <f>'Rate&amp;Ratio'!O38</f>
        <v>2.7688723504485323E-2</v>
      </c>
      <c r="Q37" s="25">
        <f>'Rate&amp;Ratio'!P38</f>
        <v>3.1118625127789165E-2</v>
      </c>
      <c r="R37" s="25">
        <f>'Rate&amp;Ratio'!Q38</f>
        <v>3.4143132159494577E-2</v>
      </c>
      <c r="S37" s="25">
        <f>'Rate&amp;Ratio'!R38</f>
        <v>3.3942444456573982E-2</v>
      </c>
      <c r="T37" s="25">
        <f>'Rate&amp;Ratio'!S38</f>
        <v>3.6520817173380356E-2</v>
      </c>
      <c r="U37" s="25">
        <f>'Rate&amp;Ratio'!T38</f>
        <v>3.8107763147030529E-2</v>
      </c>
      <c r="V37" s="25">
        <f>'Rate&amp;Ratio'!U38</f>
        <v>3.672649981105422E-2</v>
      </c>
      <c r="W37" s="25">
        <f>'Rate&amp;Ratio'!V38</f>
        <v>3.876521814163722E-2</v>
      </c>
      <c r="X37" s="25">
        <f>'Rate&amp;Ratio'!W38</f>
        <v>3.8630625374065607E-2</v>
      </c>
      <c r="Y37" s="25">
        <f>'Rate&amp;Ratio'!X38</f>
        <v>4.1342480524834122E-2</v>
      </c>
      <c r="Z37" s="25">
        <f>'Rate&amp;Ratio'!Y38</f>
        <v>4.0872795909673895E-2</v>
      </c>
      <c r="AA37" s="25">
        <v>3.6358818676177788E-2</v>
      </c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</row>
    <row r="38" spans="1:87" ht="16" x14ac:dyDescent="0.2">
      <c r="A38" s="18" t="s">
        <v>36</v>
      </c>
      <c r="B38" s="24" t="s">
        <v>37</v>
      </c>
      <c r="C38" s="25">
        <v>0</v>
      </c>
      <c r="D38" s="25">
        <v>0.8</v>
      </c>
      <c r="E38" s="25">
        <v>0.5</v>
      </c>
      <c r="F38" s="25">
        <v>0.5</v>
      </c>
      <c r="G38" s="25">
        <v>0.5</v>
      </c>
      <c r="H38" s="25">
        <v>0.5</v>
      </c>
      <c r="I38" s="25">
        <v>0.5</v>
      </c>
      <c r="J38" s="25">
        <v>0.5</v>
      </c>
      <c r="K38" s="25">
        <v>0.5</v>
      </c>
      <c r="L38" s="25">
        <v>0.5</v>
      </c>
      <c r="M38" s="25">
        <v>0.5</v>
      </c>
      <c r="N38" s="25">
        <v>0.5</v>
      </c>
      <c r="O38" s="25">
        <v>0.5</v>
      </c>
      <c r="P38" s="25">
        <v>0.5</v>
      </c>
      <c r="Q38" s="25">
        <v>0.5</v>
      </c>
      <c r="R38" s="25">
        <v>0.5</v>
      </c>
      <c r="S38" s="25">
        <v>0.5</v>
      </c>
      <c r="T38" s="25">
        <v>0.5</v>
      </c>
      <c r="U38" s="25">
        <v>0.5</v>
      </c>
      <c r="V38" s="25">
        <v>0.5</v>
      </c>
      <c r="W38" s="25">
        <v>0.5</v>
      </c>
      <c r="X38" s="25">
        <v>0.5</v>
      </c>
      <c r="Y38" s="25">
        <v>0.5</v>
      </c>
      <c r="Z38" s="25">
        <v>0.5</v>
      </c>
      <c r="AA38" s="25">
        <v>0.5</v>
      </c>
    </row>
    <row r="39" spans="1:87" x14ac:dyDescent="0.2">
      <c r="A39" s="18"/>
      <c r="B39" s="22"/>
      <c r="C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87" x14ac:dyDescent="0.2">
      <c r="B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87" ht="16" x14ac:dyDescent="0.2">
      <c r="C41" s="22" t="s">
        <v>38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87" s="2" customFormat="1" ht="17" x14ac:dyDescent="0.2">
      <c r="A42" s="63" t="s">
        <v>39</v>
      </c>
      <c r="B42" s="26"/>
      <c r="C42" s="9">
        <v>0</v>
      </c>
      <c r="D42" s="9">
        <v>1</v>
      </c>
      <c r="E42" s="9">
        <v>2</v>
      </c>
      <c r="F42" s="9">
        <v>3</v>
      </c>
      <c r="G42" s="9">
        <v>4</v>
      </c>
      <c r="H42" s="9">
        <v>5</v>
      </c>
      <c r="I42" s="9">
        <v>6</v>
      </c>
      <c r="J42" s="9">
        <v>7</v>
      </c>
      <c r="K42" s="9">
        <v>8</v>
      </c>
      <c r="L42" s="9">
        <v>9</v>
      </c>
      <c r="M42" s="9">
        <v>10</v>
      </c>
      <c r="N42" s="9">
        <v>11</v>
      </c>
      <c r="O42" s="9">
        <v>12</v>
      </c>
      <c r="P42" s="9">
        <v>13</v>
      </c>
      <c r="Q42" s="9">
        <v>14</v>
      </c>
      <c r="R42" s="9">
        <v>15</v>
      </c>
      <c r="S42" s="9">
        <v>16</v>
      </c>
      <c r="T42" s="9">
        <v>17</v>
      </c>
      <c r="U42" s="9">
        <v>18</v>
      </c>
      <c r="V42" s="9">
        <v>19</v>
      </c>
      <c r="W42" s="9">
        <v>20</v>
      </c>
      <c r="X42" s="9">
        <v>21</v>
      </c>
      <c r="Y42" s="9">
        <v>22</v>
      </c>
      <c r="Z42" s="9">
        <v>23</v>
      </c>
      <c r="AA42" s="9">
        <v>24</v>
      </c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</row>
    <row r="43" spans="1:87" s="2" customFormat="1" x14ac:dyDescent="0.2">
      <c r="A43" s="8" t="s">
        <v>40</v>
      </c>
      <c r="B43" s="26" t="s">
        <v>41</v>
      </c>
      <c r="C43" s="72">
        <f t="shared" ref="C43:AA43" si="0">1-accnt_wro-accnt_clo</f>
        <v>1</v>
      </c>
      <c r="D43" s="73">
        <f>1-accnt_wro-accnt_clo</f>
        <v>0.95923056916330784</v>
      </c>
      <c r="E43" s="73">
        <f t="shared" si="0"/>
        <v>0.93544637837970912</v>
      </c>
      <c r="F43" s="73">
        <f t="shared" si="0"/>
        <v>0.91363609294898507</v>
      </c>
      <c r="G43" s="73">
        <f t="shared" si="0"/>
        <v>0.86511784918629198</v>
      </c>
      <c r="H43" s="73">
        <f t="shared" si="0"/>
        <v>0.8387026761696027</v>
      </c>
      <c r="I43" s="73">
        <f t="shared" si="0"/>
        <v>0.81007952830500529</v>
      </c>
      <c r="J43" s="73">
        <f t="shared" si="0"/>
        <v>0.78145680119358096</v>
      </c>
      <c r="K43" s="73">
        <f t="shared" si="0"/>
        <v>0.75461679210330135</v>
      </c>
      <c r="L43" s="73">
        <f t="shared" si="0"/>
        <v>0.72665360956237968</v>
      </c>
      <c r="M43" s="73">
        <f t="shared" si="0"/>
        <v>0.69953570553795896</v>
      </c>
      <c r="N43" s="73">
        <f t="shared" si="0"/>
        <v>0.67288097319418227</v>
      </c>
      <c r="O43" s="73">
        <f t="shared" si="0"/>
        <v>0.64823778445162783</v>
      </c>
      <c r="P43" s="73">
        <f t="shared" si="0"/>
        <v>0.62307310046052033</v>
      </c>
      <c r="Q43" s="73">
        <f t="shared" si="0"/>
        <v>0.59686946748883485</v>
      </c>
      <c r="R43" s="73">
        <f t="shared" si="0"/>
        <v>0.57074002459190876</v>
      </c>
      <c r="S43" s="73">
        <f t="shared" si="0"/>
        <v>0.54444208951255513</v>
      </c>
      <c r="T43" s="73">
        <f t="shared" si="0"/>
        <v>0.51874489374245281</v>
      </c>
      <c r="U43" s="73">
        <f t="shared" si="0"/>
        <v>0.49321457165013116</v>
      </c>
      <c r="V43" s="73">
        <f t="shared" si="0"/>
        <v>0.46932328496671299</v>
      </c>
      <c r="W43" s="73">
        <f t="shared" si="0"/>
        <v>0.4466530593600665</v>
      </c>
      <c r="X43" s="73">
        <f t="shared" si="0"/>
        <v>0.42545388926983629</v>
      </c>
      <c r="Y43" s="73">
        <f t="shared" si="0"/>
        <v>0.4036391812856181</v>
      </c>
      <c r="Z43" s="73">
        <f t="shared" si="0"/>
        <v>0.38391516090638822</v>
      </c>
      <c r="AA43" s="73">
        <f t="shared" si="0"/>
        <v>0</v>
      </c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</row>
    <row r="44" spans="1:87" s="2" customFormat="1" x14ac:dyDescent="0.2">
      <c r="A44" s="28" t="s">
        <v>42</v>
      </c>
      <c r="B44" s="29" t="s">
        <v>43</v>
      </c>
      <c r="C44" s="72">
        <v>1</v>
      </c>
      <c r="D44" s="25">
        <f t="shared" ref="D44:AA44" si="1">accnt_act-accnt_dlq</f>
        <v>0.87942850213348922</v>
      </c>
      <c r="E44" s="25">
        <f t="shared" si="1"/>
        <v>0.84678254439927769</v>
      </c>
      <c r="F44" s="25">
        <f t="shared" si="1"/>
        <v>0.81409547026191065</v>
      </c>
      <c r="G44" s="25">
        <f t="shared" si="1"/>
        <v>0.78226728830877745</v>
      </c>
      <c r="H44" s="25">
        <f t="shared" si="1"/>
        <v>0.75408592275517228</v>
      </c>
      <c r="I44" s="25">
        <f t="shared" si="1"/>
        <v>0.72571391579580835</v>
      </c>
      <c r="J44" s="25">
        <f t="shared" si="1"/>
        <v>0.69708282442642555</v>
      </c>
      <c r="K44" s="25">
        <f t="shared" si="1"/>
        <v>0.66961494405576705</v>
      </c>
      <c r="L44" s="25">
        <f t="shared" si="1"/>
        <v>0.63742285168345802</v>
      </c>
      <c r="M44" s="25">
        <f t="shared" si="1"/>
        <v>0.61186351019224039</v>
      </c>
      <c r="N44" s="25">
        <f t="shared" si="1"/>
        <v>0.58452708364546191</v>
      </c>
      <c r="O44" s="25">
        <f t="shared" si="1"/>
        <v>0.55984815015933664</v>
      </c>
      <c r="P44" s="25">
        <f t="shared" si="1"/>
        <v>0.53810317110577155</v>
      </c>
      <c r="Q44" s="25">
        <f t="shared" si="1"/>
        <v>0.5160816444724442</v>
      </c>
      <c r="R44" s="25">
        <f t="shared" si="1"/>
        <v>0.49064522977661246</v>
      </c>
      <c r="S44" s="25">
        <f t="shared" si="1"/>
        <v>0.46877910313933102</v>
      </c>
      <c r="T44" s="25">
        <f t="shared" si="1"/>
        <v>0.44313676021440357</v>
      </c>
      <c r="U44" s="25">
        <f t="shared" si="1"/>
        <v>0.41959339699861198</v>
      </c>
      <c r="V44" s="25">
        <f t="shared" si="1"/>
        <v>0.40241857582413088</v>
      </c>
      <c r="W44" s="25">
        <f t="shared" si="1"/>
        <v>0.38225995324345491</v>
      </c>
      <c r="X44" s="25">
        <f t="shared" si="1"/>
        <v>0.36196792605303946</v>
      </c>
      <c r="Y44" s="25">
        <f t="shared" si="1"/>
        <v>0.34613625367012302</v>
      </c>
      <c r="Z44" s="25">
        <f t="shared" si="1"/>
        <v>0.32699912163452477</v>
      </c>
      <c r="AA44" s="25">
        <f t="shared" si="1"/>
        <v>0</v>
      </c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</row>
    <row r="45" spans="1:87" s="2" customFormat="1" ht="14.25" customHeight="1" x14ac:dyDescent="0.2">
      <c r="A45" s="28" t="s">
        <v>44</v>
      </c>
      <c r="B45" s="29" t="s">
        <v>45</v>
      </c>
      <c r="C45" s="72">
        <v>0</v>
      </c>
      <c r="D45" s="25">
        <f>accnt_act*DLNQ_Ratio</f>
        <v>7.9802067029818652E-2</v>
      </c>
      <c r="E45" s="25">
        <f t="shared" ref="E45:AA45" si="2">accnt_act*DLNQ_Ratio</f>
        <v>8.8663833980431414E-2</v>
      </c>
      <c r="F45" s="25">
        <f t="shared" si="2"/>
        <v>9.9540622687074448E-2</v>
      </c>
      <c r="G45" s="25">
        <f t="shared" si="2"/>
        <v>8.2850560877514537E-2</v>
      </c>
      <c r="H45" s="25">
        <f t="shared" si="2"/>
        <v>8.4616753414430437E-2</v>
      </c>
      <c r="I45" s="25">
        <f t="shared" si="2"/>
        <v>8.4365612509196983E-2</v>
      </c>
      <c r="J45" s="25">
        <f t="shared" si="2"/>
        <v>8.4373976767155384E-2</v>
      </c>
      <c r="K45" s="25">
        <f t="shared" si="2"/>
        <v>8.5001848047534287E-2</v>
      </c>
      <c r="L45" s="25">
        <f t="shared" si="2"/>
        <v>8.9230757878921665E-2</v>
      </c>
      <c r="M45" s="25">
        <f t="shared" si="2"/>
        <v>8.7672195345718559E-2</v>
      </c>
      <c r="N45" s="25">
        <f t="shared" si="2"/>
        <v>8.835388954872038E-2</v>
      </c>
      <c r="O45" s="25">
        <f t="shared" si="2"/>
        <v>8.83896342922912E-2</v>
      </c>
      <c r="P45" s="25">
        <f t="shared" si="2"/>
        <v>8.4969929354748744E-2</v>
      </c>
      <c r="Q45" s="25">
        <f t="shared" si="2"/>
        <v>8.0787823016390661E-2</v>
      </c>
      <c r="R45" s="25">
        <f t="shared" si="2"/>
        <v>8.00947948152963E-2</v>
      </c>
      <c r="S45" s="25">
        <f t="shared" si="2"/>
        <v>7.5662986373224106E-2</v>
      </c>
      <c r="T45" s="25">
        <f t="shared" si="2"/>
        <v>7.5608133528049223E-2</v>
      </c>
      <c r="U45" s="25">
        <f t="shared" si="2"/>
        <v>7.3621174651519197E-2</v>
      </c>
      <c r="V45" s="25">
        <f t="shared" si="2"/>
        <v>6.6904709142582133E-2</v>
      </c>
      <c r="W45" s="25">
        <f t="shared" si="2"/>
        <v>6.4393106116611573E-2</v>
      </c>
      <c r="X45" s="25">
        <f t="shared" si="2"/>
        <v>6.3485963216796851E-2</v>
      </c>
      <c r="Y45" s="25">
        <f t="shared" si="2"/>
        <v>5.7502927615495081E-2</v>
      </c>
      <c r="Z45" s="25">
        <f t="shared" si="2"/>
        <v>5.6916039271863436E-2</v>
      </c>
      <c r="AA45" s="25">
        <f t="shared" si="2"/>
        <v>0</v>
      </c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</row>
    <row r="46" spans="1:87" s="2" customFormat="1" x14ac:dyDescent="0.2">
      <c r="A46" s="8" t="s">
        <v>46</v>
      </c>
      <c r="B46" s="26" t="s">
        <v>47</v>
      </c>
      <c r="C46" s="72">
        <v>0</v>
      </c>
      <c r="D46" s="25">
        <f>prev accnt_act*CLO_Rate +prev accnt_clo</f>
        <v>4.0769430836692204E-2</v>
      </c>
      <c r="E46" s="25">
        <f>prev accnt_act*CLO_Rate +prev accnt_clo</f>
        <v>6.4553621620290894E-2</v>
      </c>
      <c r="F46" s="25">
        <f>prev accnt_act*CLO_Rate +prev accnt_clo</f>
        <v>8.6363907051014988E-2</v>
      </c>
      <c r="G46" s="25">
        <f>prev accnt_act*CLO_Rate +prev accnt_clo</f>
        <v>0.1088369122374374</v>
      </c>
      <c r="H46" s="25">
        <f>prev accnt_act*CLO_Rate +prev accnt_clo</f>
        <v>0.13032893617888094</v>
      </c>
      <c r="I46" s="25">
        <f>prev accnt_act*CLO_Rate +prev accnt_clo</f>
        <v>0.15354142934710266</v>
      </c>
      <c r="J46" s="25">
        <f>prev accnt_act*CLO_Rate +prev accnt_clo</f>
        <v>0.17611786746415287</v>
      </c>
      <c r="K46" s="25">
        <f>prev accnt_act*CLO_Rate +prev accnt_clo</f>
        <v>0.19693829985348713</v>
      </c>
      <c r="L46" s="25">
        <f>prev accnt_act*CLO_Rate +prev accnt_clo</f>
        <v>0.21868410426713311</v>
      </c>
      <c r="M46" s="25">
        <f>prev accnt_act*CLO_Rate +prev accnt_clo</f>
        <v>0.23982684834887791</v>
      </c>
      <c r="N46" s="25">
        <f>prev accnt_act*CLO_Rate +prev accnt_clo</f>
        <v>0.26050486069454742</v>
      </c>
      <c r="O46" s="25">
        <f>prev accnt_act*CLO_Rate +prev accnt_clo</f>
        <v>0.279522151680831</v>
      </c>
      <c r="P46" s="25">
        <f>prev accnt_act*CLO_Rate +prev accnt_clo</f>
        <v>0.29747102845967227</v>
      </c>
      <c r="Q46" s="25">
        <f>prev accnt_act*CLO_Rate +prev accnt_clo</f>
        <v>0.3168602067001125</v>
      </c>
      <c r="R46" s="25">
        <f>prev accnt_act*CLO_Rate +prev accnt_clo</f>
        <v>0.33723919981055095</v>
      </c>
      <c r="S46" s="25">
        <f>prev accnt_act*CLO_Rate +prev accnt_clo</f>
        <v>0.3566115113944055</v>
      </c>
      <c r="T46" s="25">
        <f>prev accnt_act*CLO_Rate +prev accnt_clo</f>
        <v>0.37649498140698673</v>
      </c>
      <c r="U46" s="25">
        <f>prev accnt_act*CLO_Rate +prev accnt_clo</f>
        <v>0.39626318895145562</v>
      </c>
      <c r="V46" s="25">
        <f>prev accnt_act*CLO_Rate +prev accnt_clo</f>
        <v>0.41437723382397335</v>
      </c>
      <c r="W46" s="25">
        <f>prev accnt_act*CLO_Rate +prev accnt_clo</f>
        <v>0.43257065334465772</v>
      </c>
      <c r="X46" s="25">
        <f>prev accnt_act*CLO_Rate +prev accnt_clo</f>
        <v>0.44982514035297672</v>
      </c>
      <c r="Y46" s="25">
        <f>prev accnt_act*CLO_Rate +prev accnt_clo</f>
        <v>0.46741445948432986</v>
      </c>
      <c r="Z46" s="25">
        <f>prev accnt_act*CLO_Rate +prev accnt_clo</f>
        <v>0.48391232136216478</v>
      </c>
      <c r="AA46" s="25">
        <f>1-accnt_wro</f>
        <v>0.86389556816222668</v>
      </c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</row>
    <row r="47" spans="1:87" s="2" customFormat="1" x14ac:dyDescent="0.2">
      <c r="A47" s="8" t="s">
        <v>48</v>
      </c>
      <c r="B47" s="74" t="s">
        <v>49</v>
      </c>
      <c r="C47" s="75">
        <v>0</v>
      </c>
      <c r="D47" s="76">
        <f>prev accnt_act*DEF_Rate+prev accnt_DEF</f>
        <v>0</v>
      </c>
      <c r="E47" s="76">
        <f>prev accnt_act*DEF_Rate+prev accnt_DEF</f>
        <v>0</v>
      </c>
      <c r="F47" s="76">
        <f>prev accnt_act*DEF_Rate+prev accnt_DEF</f>
        <v>0</v>
      </c>
      <c r="G47" s="76">
        <f>prev accnt_act*DEF_Rate+prev accnt_DEF</f>
        <v>2.6045238576270585E-2</v>
      </c>
      <c r="H47" s="76">
        <f>prev accnt_act*DEF_Rate+prev accnt_DEF</f>
        <v>3.0968387651516306E-2</v>
      </c>
      <c r="I47" s="76">
        <f>prev accnt_act*DEF_Rate+prev accnt_DEF</f>
        <v>3.6379042347892007E-2</v>
      </c>
      <c r="J47" s="76">
        <f>prev accnt_act*DEF_Rate+prev accnt_DEF</f>
        <v>4.2425331342266122E-2</v>
      </c>
      <c r="K47" s="76">
        <f>prev accnt_act*DEF_Rate+prev accnt_DEF</f>
        <v>4.8444908043211561E-2</v>
      </c>
      <c r="L47" s="76">
        <f>prev accnt_act*DEF_Rate+prev accnt_DEF</f>
        <v>5.4662286170487136E-2</v>
      </c>
      <c r="M47" s="76">
        <f>prev accnt_act*DEF_Rate+prev accnt_DEF</f>
        <v>6.0637446113163185E-2</v>
      </c>
      <c r="N47" s="76">
        <f>prev accnt_act*DEF_Rate+prev accnt_DEF</f>
        <v>6.6614166111270259E-2</v>
      </c>
      <c r="O47" s="76">
        <f>prev accnt_act*DEF_Rate+prev accnt_DEF</f>
        <v>7.2240063867541213E-2</v>
      </c>
      <c r="P47" s="76">
        <f>prev accnt_act*DEF_Rate+prev accnt_DEF</f>
        <v>7.9455871079807436E-2</v>
      </c>
      <c r="Q47" s="76">
        <f>prev accnt_act*DEF_Rate+prev accnt_DEF</f>
        <v>8.6270325811052609E-2</v>
      </c>
      <c r="R47" s="76">
        <f>prev accnt_act*DEF_Rate+prev accnt_DEF</f>
        <v>9.2020775597540294E-2</v>
      </c>
      <c r="S47" s="76">
        <f>prev accnt_act*DEF_Rate+prev accnt_DEF</f>
        <v>9.8946399093039344E-2</v>
      </c>
      <c r="T47" s="76">
        <f>prev accnt_act*DEF_Rate+prev accnt_DEF</f>
        <v>0.10476012485056051</v>
      </c>
      <c r="U47" s="76">
        <f>prev accnt_act*DEF_Rate+prev accnt_DEF</f>
        <v>0.11052223939841326</v>
      </c>
      <c r="V47" s="76">
        <f>prev accnt_act*DEF_Rate+prev accnt_DEF</f>
        <v>0.1162994812093136</v>
      </c>
      <c r="W47" s="76">
        <f>prev accnt_act*DEF_Rate+prev accnt_DEF</f>
        <v>0.12077628729527583</v>
      </c>
      <c r="X47" s="76">
        <f>prev accnt_act*DEF_Rate+prev accnt_DEF</f>
        <v>0.12472097037718703</v>
      </c>
      <c r="Y47" s="76">
        <f>prev accnt_act*DEF_Rate+prev accnt_DEF</f>
        <v>0.12894635923005204</v>
      </c>
      <c r="Z47" s="76">
        <f>prev accnt_act*DEF_Rate+prev accnt_DEF</f>
        <v>0.13217251773144703</v>
      </c>
      <c r="AA47" s="76">
        <f>prev accnt_act*DEF_Rate+prev accnt_DEF</f>
        <v>0.13610443183777327</v>
      </c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</row>
    <row r="48" spans="1:87" s="2" customFormat="1" ht="15.75" customHeight="1" x14ac:dyDescent="0.2">
      <c r="A48" s="27"/>
      <c r="B48" s="30"/>
      <c r="C48" s="77"/>
      <c r="D48" s="31"/>
      <c r="E48" s="31"/>
      <c r="F48" s="31"/>
      <c r="G48" s="31"/>
      <c r="H48" s="31"/>
      <c r="I48" s="31"/>
      <c r="J48" s="31"/>
      <c r="K48" s="31"/>
      <c r="L48" s="32"/>
      <c r="M48" s="32"/>
      <c r="N48" s="33"/>
      <c r="O48" s="33"/>
      <c r="P48" s="33"/>
      <c r="Q48" s="33"/>
      <c r="R48" s="34"/>
      <c r="S48" s="77"/>
      <c r="T48" s="77"/>
      <c r="U48" s="77"/>
      <c r="V48" s="77"/>
      <c r="W48" s="77"/>
      <c r="X48" s="77"/>
      <c r="Y48" s="77"/>
      <c r="Z48" s="77"/>
      <c r="AA48" s="7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</row>
    <row r="49" spans="1:87" s="2" customFormat="1" x14ac:dyDescent="0.2">
      <c r="A49" s="8" t="s">
        <v>50</v>
      </c>
      <c r="B49" s="26" t="s">
        <v>51</v>
      </c>
      <c r="C49" s="73">
        <v>0</v>
      </c>
      <c r="D49" s="78">
        <f>accnt_DEF-prev accnt_DEF</f>
        <v>0</v>
      </c>
      <c r="E49" s="78">
        <f>accnt_DEF-prev accnt_DEF</f>
        <v>0</v>
      </c>
      <c r="F49" s="78">
        <f>accnt_DEF-prev accnt_DEF</f>
        <v>0</v>
      </c>
      <c r="G49" s="78">
        <f>accnt_DEF-prev accnt_DEF</f>
        <v>2.6045238576270585E-2</v>
      </c>
      <c r="H49" s="78">
        <f>accnt_DEF-prev accnt_DEF</f>
        <v>4.923149075245721E-3</v>
      </c>
      <c r="I49" s="78">
        <f>accnt_DEF-prev accnt_DEF</f>
        <v>5.410654696375701E-3</v>
      </c>
      <c r="J49" s="78">
        <f>accnt_DEF-prev accnt_DEF</f>
        <v>6.0462889943741147E-3</v>
      </c>
      <c r="K49" s="78">
        <f>accnt_DEF-prev accnt_DEF</f>
        <v>6.0195767009454393E-3</v>
      </c>
      <c r="L49" s="78">
        <f>accnt_DEF-prev accnt_DEF</f>
        <v>6.2173781272755746E-3</v>
      </c>
      <c r="M49" s="78">
        <f>accnt_DEF-prev accnt_DEF</f>
        <v>5.9751599426760491E-3</v>
      </c>
      <c r="N49" s="78">
        <f>accnt_DEF-prev accnt_DEF</f>
        <v>5.9767199981070745E-3</v>
      </c>
      <c r="O49" s="78">
        <f>accnt_DEF-prev accnt_DEF</f>
        <v>5.6258977562709533E-3</v>
      </c>
      <c r="P49" s="78">
        <f>accnt_DEF-prev accnt_DEF</f>
        <v>7.2158072122662231E-3</v>
      </c>
      <c r="Q49" s="78">
        <f>accnt_DEF-prev accnt_DEF</f>
        <v>6.8144547312451731E-3</v>
      </c>
      <c r="R49" s="78">
        <f>accnt_DEF-prev accnt_DEF</f>
        <v>5.7504497864876852E-3</v>
      </c>
      <c r="S49" s="78">
        <f>accnt_DEF-prev accnt_DEF</f>
        <v>6.9256234954990503E-3</v>
      </c>
      <c r="T49" s="78">
        <f>accnt_DEF-prev accnt_DEF</f>
        <v>5.8137257575211626E-3</v>
      </c>
      <c r="U49" s="78">
        <f>accnt_DEF-prev accnt_DEF</f>
        <v>5.762114547852748E-3</v>
      </c>
      <c r="V49" s="78">
        <f>accnt_DEF-prev accnt_DEF</f>
        <v>5.7772418109003493E-3</v>
      </c>
      <c r="W49" s="78">
        <f>accnt_DEF-prev accnt_DEF</f>
        <v>4.4768060859622233E-3</v>
      </c>
      <c r="X49" s="78">
        <f>accnt_DEF-prev accnt_DEF</f>
        <v>3.9446830819112044E-3</v>
      </c>
      <c r="Y49" s="78">
        <f>accnt_DEF-prev accnt_DEF</f>
        <v>4.2253888528650113E-3</v>
      </c>
      <c r="Z49" s="78">
        <f>accnt_DEF-prev accnt_DEF</f>
        <v>3.2261585013949878E-3</v>
      </c>
      <c r="AA49" s="78">
        <f>accnt_DEF-prev accnt_DEF</f>
        <v>3.9319141063262342E-3</v>
      </c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</row>
    <row r="50" spans="1:87" x14ac:dyDescent="0.2">
      <c r="B50" s="26"/>
      <c r="C50" s="35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 spans="1:87" ht="17" x14ac:dyDescent="0.2">
      <c r="A51" s="63" t="s">
        <v>52</v>
      </c>
      <c r="B51" s="26"/>
      <c r="C51" s="9"/>
      <c r="D51" s="8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87" x14ac:dyDescent="0.2">
      <c r="A52" s="37" t="s">
        <v>53</v>
      </c>
      <c r="B52" s="26" t="s">
        <v>54</v>
      </c>
      <c r="C52" s="79">
        <f>initial_amount</f>
        <v>500000</v>
      </c>
      <c r="D52" s="38">
        <f>prev PB_model+int_model-regular_payment</f>
        <v>483564.45137337502</v>
      </c>
      <c r="E52" s="38">
        <f>prev PB_model+int_model-regular_payment</f>
        <v>466800.19177421753</v>
      </c>
      <c r="F52" s="38">
        <f>prev PB_model+int_model-regular_payment</f>
        <v>449700.64698307693</v>
      </c>
      <c r="G52" s="38">
        <f>prev PB_model+int_model-regular_payment</f>
        <v>432259.11129611358</v>
      </c>
      <c r="H52" s="38">
        <f>prev PB_model+int_model-regular_payment</f>
        <v>414468.74489541096</v>
      </c>
      <c r="I52" s="38">
        <f>prev PB_model+int_model-regular_payment</f>
        <v>396322.57116669428</v>
      </c>
      <c r="J52" s="38">
        <f>prev PB_model+int_model-regular_payment</f>
        <v>377813.47396340326</v>
      </c>
      <c r="K52" s="38">
        <f>prev PB_model+int_model-regular_payment</f>
        <v>358934.19481604639</v>
      </c>
      <c r="L52" s="38">
        <f>prev PB_model+int_model-regular_payment</f>
        <v>339677.3300857424</v>
      </c>
      <c r="M52" s="38">
        <f>prev PB_model+int_model-regular_payment</f>
        <v>320035.32806083234</v>
      </c>
      <c r="N52" s="38">
        <f>prev PB_model+int_model-regular_payment</f>
        <v>300000.48599542398</v>
      </c>
      <c r="O52" s="38">
        <f>prev PB_model+int_model-regular_payment</f>
        <v>279564.94708870747</v>
      </c>
      <c r="P52" s="38">
        <f>prev PB_model+int_model-regular_payment</f>
        <v>258720.6974038567</v>
      </c>
      <c r="Q52" s="38">
        <f>prev PB_model+int_model-regular_payment</f>
        <v>237459.5627253089</v>
      </c>
      <c r="R52" s="38">
        <f>prev PB_model+int_model-regular_payment</f>
        <v>215773.20535319013</v>
      </c>
      <c r="S52" s="38">
        <f>prev PB_model+int_model-regular_payment</f>
        <v>193653.12083362899</v>
      </c>
      <c r="T52" s="38">
        <f>prev PB_model+int_model-regular_payment</f>
        <v>171090.63462367663</v>
      </c>
      <c r="U52" s="38">
        <f>prev PB_model+int_model-regular_payment</f>
        <v>148076.8986895252</v>
      </c>
      <c r="V52" s="38">
        <f>prev PB_model+int_model-regular_payment</f>
        <v>124602.88803669077</v>
      </c>
      <c r="W52" s="38">
        <f>prev PB_model+int_model-regular_payment</f>
        <v>100659.39717079964</v>
      </c>
      <c r="X52" s="38">
        <f>prev PB_model+int_model-regular_payment</f>
        <v>76237.036487590682</v>
      </c>
      <c r="Y52" s="38">
        <f>prev PB_model+int_model-regular_payment</f>
        <v>51326.228590717539</v>
      </c>
      <c r="Z52" s="38">
        <f>prev PB_model+int_model-regular_payment</f>
        <v>25917.204535906938</v>
      </c>
      <c r="AA52" s="38">
        <f>prev PB_model+int_model-regular_payment</f>
        <v>1.2732925824820995E-10</v>
      </c>
    </row>
    <row r="53" spans="1:87" x14ac:dyDescent="0.2">
      <c r="A53" s="37" t="s">
        <v>55</v>
      </c>
      <c r="B53" s="39" t="s">
        <v>56</v>
      </c>
      <c r="C53" s="40">
        <f>PB*accnt_cur</f>
        <v>500000</v>
      </c>
      <c r="D53" s="40">
        <f>prev PB_model*interest_rate/12</f>
        <v>10000</v>
      </c>
      <c r="E53" s="40">
        <f>prev PB_model*interest_rate/12</f>
        <v>9671.2890274674992</v>
      </c>
      <c r="F53" s="40">
        <f>prev PB_model*interest_rate/12</f>
        <v>9336.0038354843509</v>
      </c>
      <c r="G53" s="40">
        <f>prev PB_model*interest_rate/12</f>
        <v>8994.0129396615393</v>
      </c>
      <c r="H53" s="40">
        <f>prev PB_model*interest_rate/12</f>
        <v>8645.1822259222718</v>
      </c>
      <c r="I53" s="40">
        <f>prev PB_model*interest_rate/12</f>
        <v>8289.3748979082193</v>
      </c>
      <c r="J53" s="40">
        <f>prev PB_model*interest_rate/12</f>
        <v>7926.451423333885</v>
      </c>
      <c r="K53" s="40">
        <f>prev PB_model*interest_rate/12</f>
        <v>7556.2694792680641</v>
      </c>
      <c r="L53" s="40">
        <f>prev PB_model*interest_rate/12</f>
        <v>7178.6838963209275</v>
      </c>
      <c r="M53" s="40">
        <f>prev PB_model*interest_rate/12</f>
        <v>6793.5466017148474</v>
      </c>
      <c r="N53" s="40">
        <f>prev PB_model*interest_rate/12</f>
        <v>6400.7065612166471</v>
      </c>
      <c r="O53" s="40">
        <f>prev PB_model*interest_rate/12</f>
        <v>6000.0097199084785</v>
      </c>
      <c r="P53" s="40">
        <f>prev PB_model*interest_rate/12</f>
        <v>5591.2989417741492</v>
      </c>
      <c r="Q53" s="40">
        <f>prev PB_model*interest_rate/12</f>
        <v>5174.4139480771337</v>
      </c>
      <c r="R53" s="40">
        <f>prev PB_model*interest_rate/12</f>
        <v>4749.1912545061778</v>
      </c>
      <c r="S53" s="40">
        <f>prev PB_model*interest_rate/12</f>
        <v>4315.4641070638027</v>
      </c>
      <c r="T53" s="40">
        <f>prev PB_model*interest_rate/12</f>
        <v>3873.0624166725793</v>
      </c>
      <c r="U53" s="40">
        <f>prev PB_model*interest_rate/12</f>
        <v>3421.812692473532</v>
      </c>
      <c r="V53" s="40">
        <f>prev PB_model*interest_rate/12</f>
        <v>2961.5379737905041</v>
      </c>
      <c r="W53" s="40">
        <f>prev PB_model*interest_rate/12</f>
        <v>2492.057760733815</v>
      </c>
      <c r="X53" s="40">
        <f>prev PB_model*interest_rate/12</f>
        <v>2013.1879434159928</v>
      </c>
      <c r="Y53" s="40">
        <f>prev PB_model*interest_rate/12</f>
        <v>1524.7407297518137</v>
      </c>
      <c r="Z53" s="40">
        <f>prev PB_model*interest_rate/12</f>
        <v>1026.5245718143508</v>
      </c>
      <c r="AA53" s="40">
        <f>prev PB_model*interest_rate/12</f>
        <v>518.34409071813877</v>
      </c>
    </row>
    <row r="54" spans="1:87" x14ac:dyDescent="0.2">
      <c r="A54" s="37"/>
      <c r="B54" s="26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spans="1:87" ht="17" x14ac:dyDescent="0.2">
      <c r="A55" s="63" t="s">
        <v>57</v>
      </c>
      <c r="B55" s="41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spans="1:87" x14ac:dyDescent="0.2">
      <c r="A56" s="37" t="s">
        <v>58</v>
      </c>
      <c r="B56" s="26" t="s">
        <v>59</v>
      </c>
      <c r="C56" s="79">
        <f t="shared" ref="C56:AA56" si="3">PB_cur+PB_dlq</f>
        <v>500000</v>
      </c>
      <c r="D56" s="79">
        <f t="shared" si="3"/>
        <v>465161.39467119903</v>
      </c>
      <c r="E56" s="79">
        <f t="shared" si="3"/>
        <v>438152.93235205003</v>
      </c>
      <c r="F56" s="79">
        <f t="shared" si="3"/>
        <v>412564.84144242486</v>
      </c>
      <c r="G56" s="79">
        <f t="shared" si="3"/>
        <v>375400.11366990191</v>
      </c>
      <c r="H56" s="79">
        <f t="shared" si="3"/>
        <v>349121.4085793182</v>
      </c>
      <c r="I56" s="79">
        <f t="shared" si="3"/>
        <v>322583.71456866409</v>
      </c>
      <c r="J56" s="79">
        <f t="shared" si="3"/>
        <v>296806.59494868689</v>
      </c>
      <c r="K56" s="79">
        <f t="shared" si="3"/>
        <v>272462.54428559693</v>
      </c>
      <c r="L56" s="79">
        <f t="shared" si="3"/>
        <v>248546.06262757353</v>
      </c>
      <c r="M56" s="79">
        <f t="shared" si="3"/>
        <v>225598.19645061542</v>
      </c>
      <c r="N56" s="79">
        <f t="shared" si="3"/>
        <v>203634.77519830168</v>
      </c>
      <c r="O56" s="79">
        <f t="shared" si="3"/>
        <v>183030.85172165086</v>
      </c>
      <c r="P56" s="79">
        <f t="shared" si="3"/>
        <v>162973.0415079036</v>
      </c>
      <c r="Q56" s="79">
        <f t="shared" si="3"/>
        <v>143450.00353952486</v>
      </c>
      <c r="R56" s="79">
        <f t="shared" si="3"/>
        <v>124887.36887356575</v>
      </c>
      <c r="S56" s="79">
        <f t="shared" si="3"/>
        <v>107106.58140086642</v>
      </c>
      <c r="T56" s="79">
        <f t="shared" si="3"/>
        <v>90458.300548274783</v>
      </c>
      <c r="U56" s="79">
        <f t="shared" si="3"/>
        <v>74727.982431026147</v>
      </c>
      <c r="V56" s="79">
        <f t="shared" si="3"/>
        <v>60049.558584857019</v>
      </c>
      <c r="W56" s="79">
        <f t="shared" si="3"/>
        <v>46501.623447807127</v>
      </c>
      <c r="X56" s="79">
        <f t="shared" si="3"/>
        <v>33985.820772053426</v>
      </c>
      <c r="Y56" s="79">
        <f t="shared" si="3"/>
        <v>22149.721270173111</v>
      </c>
      <c r="Z56" s="79">
        <f t="shared" si="3"/>
        <v>11396.18876060981</v>
      </c>
      <c r="AA56" s="79">
        <f t="shared" si="3"/>
        <v>0</v>
      </c>
    </row>
    <row r="57" spans="1:87" x14ac:dyDescent="0.2">
      <c r="A57" s="28" t="s">
        <v>60</v>
      </c>
      <c r="B57" s="29" t="s">
        <v>61</v>
      </c>
      <c r="C57" s="79">
        <f t="shared" ref="C57:AA57" si="4">PB_model*accnt_cur</f>
        <v>500000</v>
      </c>
      <c r="D57" s="79">
        <f>PB_model*accnt_cur</f>
        <v>425260.3611562897</v>
      </c>
      <c r="E57" s="79">
        <f t="shared" si="4"/>
        <v>395278.2541166427</v>
      </c>
      <c r="F57" s="79">
        <f t="shared" si="4"/>
        <v>366099.2596827735</v>
      </c>
      <c r="G57" s="79">
        <f t="shared" si="4"/>
        <v>338142.16284037282</v>
      </c>
      <c r="H57" s="79">
        <f t="shared" si="4"/>
        <v>312545.04594763409</v>
      </c>
      <c r="I57" s="79">
        <f t="shared" si="4"/>
        <v>287616.80503964465</v>
      </c>
      <c r="J57" s="79">
        <f t="shared" si="4"/>
        <v>263367.28353676893</v>
      </c>
      <c r="K57" s="79">
        <f t="shared" si="4"/>
        <v>240347.70078144869</v>
      </c>
      <c r="L57" s="79">
        <f t="shared" si="4"/>
        <v>216518.0923954772</v>
      </c>
      <c r="M57" s="79">
        <f t="shared" si="4"/>
        <v>195817.93921282608</v>
      </c>
      <c r="N57" s="79">
        <f t="shared" si="4"/>
        <v>175358.4091711264</v>
      </c>
      <c r="O57" s="79">
        <f t="shared" si="4"/>
        <v>156513.9184770057</v>
      </c>
      <c r="P57" s="79">
        <f t="shared" si="4"/>
        <v>139218.42770371205</v>
      </c>
      <c r="Q57" s="79">
        <f t="shared" si="4"/>
        <v>122548.52162698493</v>
      </c>
      <c r="R57" s="79">
        <f t="shared" si="4"/>
        <v>105868.09392015215</v>
      </c>
      <c r="S57" s="79">
        <f t="shared" si="4"/>
        <v>90780.536304521098</v>
      </c>
      <c r="T57" s="79">
        <f t="shared" si="4"/>
        <v>75816.549530162316</v>
      </c>
      <c r="U57" s="79">
        <f t="shared" si="4"/>
        <v>62132.088938157191</v>
      </c>
      <c r="V57" s="79">
        <f t="shared" si="4"/>
        <v>50142.51674729873</v>
      </c>
      <c r="W57" s="79">
        <f t="shared" si="4"/>
        <v>38478.056456024227</v>
      </c>
      <c r="X57" s="79">
        <f t="shared" si="4"/>
        <v>27595.361985843094</v>
      </c>
      <c r="Y57" s="79">
        <f t="shared" si="4"/>
        <v>17765.868479407327</v>
      </c>
      <c r="Z57" s="79">
        <f t="shared" si="4"/>
        <v>8474.9031184638898</v>
      </c>
      <c r="AA57" s="79">
        <f t="shared" si="4"/>
        <v>0</v>
      </c>
    </row>
    <row r="58" spans="1:87" x14ac:dyDescent="0.2">
      <c r="A58" s="28" t="s">
        <v>62</v>
      </c>
      <c r="B58" s="29" t="s">
        <v>63</v>
      </c>
      <c r="C58" s="79">
        <f>0</f>
        <v>0</v>
      </c>
      <c r="D58" s="38">
        <f>prev PB_model*accnt_dlq</f>
        <v>39901.033514909323</v>
      </c>
      <c r="E58" s="38">
        <f>prev PB_model*accnt_dlq</f>
        <v>42874.678235407322</v>
      </c>
      <c r="F58" s="38">
        <f>prev PB_model*accnt_dlq</f>
        <v>46465.581759651381</v>
      </c>
      <c r="G58" s="38">
        <f>prev PB_model*accnt_dlq</f>
        <v>37257.950829529087</v>
      </c>
      <c r="H58" s="38">
        <f>prev PB_model*accnt_dlq</f>
        <v>36576.362631684082</v>
      </c>
      <c r="I58" s="38">
        <f>prev PB_model*accnt_dlq</f>
        <v>34966.909529019453</v>
      </c>
      <c r="J58" s="38">
        <f>prev PB_model*accnt_dlq</f>
        <v>33439.311411917952</v>
      </c>
      <c r="K58" s="38">
        <f>prev PB_model*accnt_dlq</f>
        <v>32114.843504148255</v>
      </c>
      <c r="L58" s="38">
        <f>prev PB_model*accnt_dlq</f>
        <v>32027.970232096337</v>
      </c>
      <c r="M58" s="38">
        <f>prev PB_model*accnt_dlq</f>
        <v>29780.25723778933</v>
      </c>
      <c r="N58" s="38">
        <f>prev PB_model*accnt_dlq</f>
        <v>28276.366027175274</v>
      </c>
      <c r="O58" s="38">
        <f>prev PB_model*accnt_dlq</f>
        <v>26516.933244645152</v>
      </c>
      <c r="P58" s="38">
        <f>prev PB_model*accnt_dlq</f>
        <v>23754.613804191544</v>
      </c>
      <c r="Q58" s="38">
        <f>prev PB_model*accnt_dlq</f>
        <v>20901.481912539937</v>
      </c>
      <c r="R58" s="38">
        <f>prev PB_model*accnt_dlq</f>
        <v>19019.274953413598</v>
      </c>
      <c r="S58" s="38">
        <f>prev PB_model*accnt_dlq</f>
        <v>16326.045096345311</v>
      </c>
      <c r="T58" s="38">
        <f>prev PB_model*accnt_dlq</f>
        <v>14641.751018112471</v>
      </c>
      <c r="U58" s="38">
        <f>prev PB_model*accnt_dlq</f>
        <v>12595.893492868954</v>
      </c>
      <c r="V58" s="38">
        <f>prev PB_model*accnt_dlq</f>
        <v>9907.0418375582849</v>
      </c>
      <c r="W58" s="38">
        <f>prev PB_model*accnt_dlq</f>
        <v>8023.5669917828991</v>
      </c>
      <c r="X58" s="38">
        <f>prev PB_model*accnt_dlq</f>
        <v>6390.4587862103308</v>
      </c>
      <c r="Y58" s="38">
        <f>prev PB_model*accnt_dlq</f>
        <v>4383.8527907657844</v>
      </c>
      <c r="Z58" s="38">
        <f>prev PB_model*accnt_dlq</f>
        <v>2921.2856421459192</v>
      </c>
      <c r="AA58" s="38">
        <f>prev PB_model*accnt_dlq</f>
        <v>0</v>
      </c>
    </row>
    <row r="59" spans="1:87" x14ac:dyDescent="0.2">
      <c r="A59" s="37" t="s">
        <v>64</v>
      </c>
      <c r="B59" s="39" t="s">
        <v>65</v>
      </c>
      <c r="C59" s="40">
        <v>0</v>
      </c>
      <c r="D59" s="40">
        <v>0</v>
      </c>
      <c r="E59" s="40">
        <v>0</v>
      </c>
      <c r="F59" s="40">
        <v>0</v>
      </c>
      <c r="G59" s="40">
        <f>prev_ PB_model *accnt_b_def+ prev PB_def</f>
        <v>13022.619288135293</v>
      </c>
      <c r="H59" s="40">
        <f>prev_ PB_model *accnt_b_def+ prev PB_def</f>
        <v>15403.279169735828</v>
      </c>
      <c r="I59" s="40">
        <f>prev_ PB_model *accnt_b_def+ prev PB_def</f>
        <v>17928.973819628074</v>
      </c>
      <c r="J59" s="40">
        <f>prev_ PB_model *accnt_b_def+ prev PB_def</f>
        <v>20647.993892244769</v>
      </c>
      <c r="K59" s="40">
        <f>prev_ PB_model *accnt_b_def+ prev PB_def</f>
        <v>23250.010767374235</v>
      </c>
      <c r="L59" s="40">
        <f>prev_ PB_model *accnt_b_def+ prev PB_def</f>
        <v>25826.919676326324</v>
      </c>
      <c r="M59" s="40">
        <f>prev_ PB_model *accnt_b_def+ prev PB_def</f>
        <v>28195.010427939935</v>
      </c>
      <c r="N59" s="40">
        <f>prev_ PB_model *accnt_b_def+ prev PB_def</f>
        <v>30453.095773331312</v>
      </c>
      <c r="O59" s="40">
        <f>prev_ PB_model *accnt_b_def+ prev PB_def</f>
        <v>32472.422854595829</v>
      </c>
      <c r="P59" s="40">
        <f>prev_ PB_model *accnt_b_def+ prev PB_def</f>
        <v>34923.468982871862</v>
      </c>
      <c r="Q59" s="40">
        <f>prev_ PB_model *accnt_b_def+ prev PB_def</f>
        <v>37104.335238341599</v>
      </c>
      <c r="R59" s="40">
        <f>prev_ PB_model *accnt_b_def+ prev PB_def</f>
        <v>38829.47296898019</v>
      </c>
      <c r="S59" s="40">
        <f>prev_ PB_model *accnt_b_def+ prev PB_def</f>
        <v>40765.634535055688</v>
      </c>
      <c r="T59" s="40">
        <f>prev_ PB_model *accnt_b_def+ prev PB_def</f>
        <v>42269.765717556329</v>
      </c>
      <c r="U59" s="40">
        <f>prev_ PB_model *accnt_b_def+ prev PB_def</f>
        <v>43638.034918462581</v>
      </c>
      <c r="V59" s="40">
        <f>prev_ PB_model *accnt_b_def+ prev PB_def</f>
        <v>44884.608902101019</v>
      </c>
      <c r="W59" s="40">
        <f>prev_ PB_model *accnt_b_def+ prev PB_def</f>
        <v>45751.556372014587</v>
      </c>
      <c r="X59" s="40">
        <f>prev_ PB_model *accnt_b_def+ prev PB_def</f>
        <v>46426.454703888056</v>
      </c>
      <c r="Y59" s="40">
        <f>prev_ PB_model *accnt_b_def+ prev PB_def</f>
        <v>47052.137180977596</v>
      </c>
      <c r="Z59" s="40">
        <f>prev_ PB_model *accnt_b_def+ prev PB_def</f>
        <v>47454.125847515534</v>
      </c>
      <c r="AA59" s="40">
        <f>prev_ PB_model *accnt_b_def+ prev PB_def</f>
        <v>47849.909951185698</v>
      </c>
    </row>
    <row r="60" spans="1:87" x14ac:dyDescent="0.2">
      <c r="A60" s="37"/>
      <c r="B60" s="26"/>
      <c r="C60" s="7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spans="1:87" ht="17" x14ac:dyDescent="0.2">
      <c r="A61" s="63" t="s">
        <v>66</v>
      </c>
      <c r="B61" s="26"/>
      <c r="C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87" x14ac:dyDescent="0.2">
      <c r="A62" s="8" t="s">
        <v>67</v>
      </c>
      <c r="B62" s="26" t="s">
        <v>68</v>
      </c>
      <c r="C62" s="42">
        <f t="shared" ref="C62:H62" si="5">GB_cur+GB_dlq</f>
        <v>500000</v>
      </c>
      <c r="D62" s="42">
        <f t="shared" si="5"/>
        <v>465959.41534149722</v>
      </c>
      <c r="E62" s="42">
        <f t="shared" si="5"/>
        <v>439010.42591675813</v>
      </c>
      <c r="F62" s="42">
        <f t="shared" si="5"/>
        <v>413494.15307761793</v>
      </c>
      <c r="G62" s="42">
        <f t="shared" si="5"/>
        <v>376145.27268649254</v>
      </c>
      <c r="H62" s="42">
        <f t="shared" si="5"/>
        <v>349852.93583195185</v>
      </c>
      <c r="I62" s="42">
        <f t="shared" ref="I62:AA62" si="6">GB_cur+GB_dlq</f>
        <v>323283.05275924451</v>
      </c>
      <c r="J62" s="42">
        <f t="shared" si="6"/>
        <v>297475.38117692526</v>
      </c>
      <c r="K62" s="42">
        <f t="shared" si="6"/>
        <v>273104.8411556799</v>
      </c>
      <c r="L62" s="42">
        <f t="shared" si="6"/>
        <v>249186.62203221547</v>
      </c>
      <c r="M62" s="42">
        <f t="shared" si="6"/>
        <v>226193.80159537122</v>
      </c>
      <c r="N62" s="42">
        <f t="shared" si="6"/>
        <v>204200.30251884519</v>
      </c>
      <c r="O62" s="42">
        <f t="shared" si="6"/>
        <v>183561.19038654375</v>
      </c>
      <c r="P62" s="42">
        <f t="shared" si="6"/>
        <v>163448.13378398743</v>
      </c>
      <c r="Q62" s="42">
        <f t="shared" si="6"/>
        <v>143868.03317777568</v>
      </c>
      <c r="R62" s="42">
        <f t="shared" si="6"/>
        <v>125267.75437263402</v>
      </c>
      <c r="S62" s="42">
        <f t="shared" si="6"/>
        <v>107433.10230279331</v>
      </c>
      <c r="T62" s="42">
        <f t="shared" si="6"/>
        <v>90751.135568637037</v>
      </c>
      <c r="U62" s="42">
        <f t="shared" si="6"/>
        <v>74979.900300883528</v>
      </c>
      <c r="V62" s="42">
        <f t="shared" si="6"/>
        <v>60247.69942160818</v>
      </c>
      <c r="W62" s="42">
        <f t="shared" si="6"/>
        <v>46662.094787642782</v>
      </c>
      <c r="X62" s="42">
        <f t="shared" si="6"/>
        <v>34113.629947777634</v>
      </c>
      <c r="Y62" s="42">
        <f t="shared" si="6"/>
        <v>22237.398325988426</v>
      </c>
      <c r="Z62" s="42">
        <f t="shared" si="6"/>
        <v>11454.614473452728</v>
      </c>
      <c r="AA62" s="42">
        <f t="shared" si="6"/>
        <v>0</v>
      </c>
    </row>
    <row r="63" spans="1:87" x14ac:dyDescent="0.2">
      <c r="A63" s="28" t="s">
        <v>69</v>
      </c>
      <c r="B63" s="29" t="s">
        <v>70</v>
      </c>
      <c r="C63" s="42">
        <f t="shared" ref="C63:AA63" si="7">PB_model*accnt_cur</f>
        <v>500000</v>
      </c>
      <c r="D63" s="42">
        <f t="shared" si="7"/>
        <v>425260.3611562897</v>
      </c>
      <c r="E63" s="42">
        <f t="shared" si="7"/>
        <v>395278.2541166427</v>
      </c>
      <c r="F63" s="42">
        <f t="shared" si="7"/>
        <v>366099.2596827735</v>
      </c>
      <c r="G63" s="42">
        <f t="shared" si="7"/>
        <v>338142.16284037282</v>
      </c>
      <c r="H63" s="42">
        <f t="shared" si="7"/>
        <v>312545.04594763409</v>
      </c>
      <c r="I63" s="42">
        <f t="shared" si="7"/>
        <v>287616.80503964465</v>
      </c>
      <c r="J63" s="42">
        <f t="shared" si="7"/>
        <v>263367.28353676893</v>
      </c>
      <c r="K63" s="42">
        <f t="shared" si="7"/>
        <v>240347.70078144869</v>
      </c>
      <c r="L63" s="42">
        <f t="shared" si="7"/>
        <v>216518.0923954772</v>
      </c>
      <c r="M63" s="42">
        <f t="shared" si="7"/>
        <v>195817.93921282608</v>
      </c>
      <c r="N63" s="42">
        <f t="shared" si="7"/>
        <v>175358.4091711264</v>
      </c>
      <c r="O63" s="42">
        <f t="shared" si="7"/>
        <v>156513.9184770057</v>
      </c>
      <c r="P63" s="42">
        <f t="shared" si="7"/>
        <v>139218.42770371205</v>
      </c>
      <c r="Q63" s="42">
        <f t="shared" si="7"/>
        <v>122548.52162698493</v>
      </c>
      <c r="R63" s="42">
        <f t="shared" si="7"/>
        <v>105868.09392015215</v>
      </c>
      <c r="S63" s="42">
        <f t="shared" si="7"/>
        <v>90780.536304521098</v>
      </c>
      <c r="T63" s="42">
        <f t="shared" si="7"/>
        <v>75816.549530162316</v>
      </c>
      <c r="U63" s="42">
        <f t="shared" si="7"/>
        <v>62132.088938157191</v>
      </c>
      <c r="V63" s="42">
        <f t="shared" si="7"/>
        <v>50142.51674729873</v>
      </c>
      <c r="W63" s="42">
        <f t="shared" si="7"/>
        <v>38478.056456024227</v>
      </c>
      <c r="X63" s="42">
        <f t="shared" si="7"/>
        <v>27595.361985843094</v>
      </c>
      <c r="Y63" s="42">
        <f t="shared" si="7"/>
        <v>17765.868479407327</v>
      </c>
      <c r="Z63" s="42">
        <f t="shared" si="7"/>
        <v>8474.9031184638898</v>
      </c>
      <c r="AA63" s="42">
        <f t="shared" si="7"/>
        <v>0</v>
      </c>
    </row>
    <row r="64" spans="1:87" x14ac:dyDescent="0.2">
      <c r="A64" s="28" t="s">
        <v>71</v>
      </c>
      <c r="B64" s="29" t="s">
        <v>72</v>
      </c>
      <c r="C64" s="79">
        <f>0</f>
        <v>0</v>
      </c>
      <c r="D64" s="38">
        <f>(PB_model+regular_payment)*accnt_dlq</f>
        <v>40699.054185207511</v>
      </c>
      <c r="E64" s="38">
        <f t="shared" ref="E64:AA64" si="8">(PB_model+regular_payment)*accnt_dlq</f>
        <v>43732.171800115466</v>
      </c>
      <c r="F64" s="38">
        <f t="shared" si="8"/>
        <v>47394.89339484441</v>
      </c>
      <c r="G64" s="38">
        <f t="shared" si="8"/>
        <v>38003.109846119682</v>
      </c>
      <c r="H64" s="38">
        <f t="shared" si="8"/>
        <v>37307.889884317774</v>
      </c>
      <c r="I64" s="38">
        <f t="shared" si="8"/>
        <v>35666.247719599851</v>
      </c>
      <c r="J64" s="38">
        <f t="shared" si="8"/>
        <v>34108.097640156317</v>
      </c>
      <c r="K64" s="38">
        <f t="shared" si="8"/>
        <v>32757.140374231225</v>
      </c>
      <c r="L64" s="38">
        <f t="shared" si="8"/>
        <v>32668.529636738269</v>
      </c>
      <c r="M64" s="38">
        <f t="shared" si="8"/>
        <v>30375.862382545125</v>
      </c>
      <c r="N64" s="38">
        <f t="shared" si="8"/>
        <v>28841.893347718775</v>
      </c>
      <c r="O64" s="38">
        <f t="shared" si="8"/>
        <v>27047.271909538056</v>
      </c>
      <c r="P64" s="38">
        <f t="shared" si="8"/>
        <v>24229.706080275377</v>
      </c>
      <c r="Q64" s="38">
        <f t="shared" si="8"/>
        <v>21319.511550790739</v>
      </c>
      <c r="R64" s="38">
        <f t="shared" si="8"/>
        <v>19399.660452481869</v>
      </c>
      <c r="S64" s="38">
        <f t="shared" si="8"/>
        <v>16652.565998272217</v>
      </c>
      <c r="T64" s="38">
        <f t="shared" si="8"/>
        <v>14934.586038474721</v>
      </c>
      <c r="U64" s="38">
        <f t="shared" si="8"/>
        <v>12847.811362726334</v>
      </c>
      <c r="V64" s="38">
        <f t="shared" si="8"/>
        <v>10105.182674309452</v>
      </c>
      <c r="W64" s="38">
        <f t="shared" si="8"/>
        <v>8184.038331618558</v>
      </c>
      <c r="X64" s="38">
        <f t="shared" si="8"/>
        <v>6518.2679619345372</v>
      </c>
      <c r="Y64" s="38">
        <f t="shared" si="8"/>
        <v>4471.5298465810993</v>
      </c>
      <c r="Z64" s="38">
        <f t="shared" si="8"/>
        <v>2979.7113549888377</v>
      </c>
      <c r="AA64" s="38">
        <f t="shared" si="8"/>
        <v>0</v>
      </c>
    </row>
    <row r="65" spans="1:87" s="3" customFormat="1" x14ac:dyDescent="0.2">
      <c r="A65" s="40" t="s">
        <v>73</v>
      </c>
      <c r="B65" s="39" t="s">
        <v>74</v>
      </c>
      <c r="C65" s="40">
        <v>0</v>
      </c>
      <c r="D65" s="40">
        <v>0</v>
      </c>
      <c r="E65" s="40">
        <v>0</v>
      </c>
      <c r="F65" s="40">
        <v>0</v>
      </c>
      <c r="G65" s="40">
        <f>(PB_model +4*regular_payment)*accnt_b_def+ prev GB_DEF</f>
        <v>14012.372363974173</v>
      </c>
      <c r="H65" s="40">
        <f>(PB_model +4*regular_payment)*accnt_b_def+ prev GB_DEF</f>
        <v>16573.448369223399</v>
      </c>
      <c r="I65" s="40">
        <f>(PB_model +4*regular_payment)*accnt_b_def+ prev GB_DEF</f>
        <v>19289.947451497832</v>
      </c>
      <c r="J65" s="40">
        <f>(PB_model +4*regular_payment)*accnt_b_def+ prev GB_DEF</f>
        <v>22213.664767934624</v>
      </c>
      <c r="K65" s="40">
        <f>(PB_model +4*regular_payment)*accnt_b_def+ prev GB_DEF</f>
        <v>25010.819934580075</v>
      </c>
      <c r="L65" s="40">
        <f>(PB_model +4*regular_payment)*accnt_b_def+ prev GB_DEF</f>
        <v>27780.161544241368</v>
      </c>
      <c r="M65" s="40">
        <f>(PB_model +4*regular_payment)*accnt_b_def+ prev GB_DEF</f>
        <v>30324.250341577539</v>
      </c>
      <c r="N65" s="40">
        <f>(PB_model +4*regular_payment)*accnt_b_def+ prev GB_DEF</f>
        <v>32749.260734218955</v>
      </c>
      <c r="O65" s="40">
        <f>(PB_model +4*regular_payment)*accnt_b_def+ prev GB_DEF</f>
        <v>34916.959317594607</v>
      </c>
      <c r="P65" s="40">
        <f>(PB_model +4*regular_payment)*accnt_b_def+ prev GB_DEF</f>
        <v>37546.853281644762</v>
      </c>
      <c r="Q65" s="40">
        <f>(PB_model +4*regular_payment)*accnt_b_def+ prev GB_DEF</f>
        <v>39885.58611998472</v>
      </c>
      <c r="R65" s="40">
        <f>(PB_model +4*regular_payment)*accnt_b_def+ prev GB_DEF</f>
        <v>41734.444282460376</v>
      </c>
      <c r="S65" s="40">
        <f>(PB_model +4*regular_payment)*accnt_b_def+ prev GB_DEF</f>
        <v>43807.943512822319</v>
      </c>
      <c r="T65" s="40">
        <f>(PB_model +4*regular_payment)*accnt_b_def+ prev GB_DEF</f>
        <v>45417.373662063881</v>
      </c>
      <c r="U65" s="40">
        <f>(PB_model +4*regular_payment)*accnt_b_def+ prev GB_DEF</f>
        <v>46879.908351491489</v>
      </c>
      <c r="V65" s="40">
        <f>(PB_model +4*regular_payment)*accnt_b_def+ prev GB_DEF</f>
        <v>48210.6675932953</v>
      </c>
      <c r="W65" s="40">
        <f>(PB_model +4*regular_payment)*accnt_b_def+ prev GB_DEF</f>
        <v>49134.687495068523</v>
      </c>
      <c r="X65" s="40">
        <f>(PB_model +4*regular_payment)*accnt_b_def+ prev GB_DEF</f>
        <v>49852.53788883012</v>
      </c>
      <c r="Y65" s="40">
        <f>(PB_model +4*regular_payment)*accnt_b_def+ prev GB_DEF</f>
        <v>50516.21305292219</v>
      </c>
      <c r="Z65" s="40">
        <f>(PB_model +4*regular_payment)*accnt_b_def+ prev GB_DEF</f>
        <v>50940.967142431407</v>
      </c>
      <c r="AA65" s="40">
        <f>(PB_model +4*regular_payment)*accnt_b_def+ prev GB_DEF</f>
        <v>51356.736368645405</v>
      </c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</row>
    <row r="66" spans="1:87" x14ac:dyDescent="0.2">
      <c r="B66" s="26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spans="1:87" ht="17" x14ac:dyDescent="0.2">
      <c r="A67" s="63" t="s">
        <v>75</v>
      </c>
      <c r="B67" s="26"/>
      <c r="C67" s="42"/>
      <c r="D67" s="42"/>
      <c r="E67" s="42"/>
      <c r="F67" s="42"/>
      <c r="G67" s="42"/>
      <c r="H67" s="42"/>
      <c r="I67" s="42"/>
      <c r="J67" s="42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 spans="1:87" x14ac:dyDescent="0.2">
      <c r="A68" s="9" t="s">
        <v>76</v>
      </c>
      <c r="B68" s="26" t="s">
        <v>77</v>
      </c>
      <c r="C68" s="42">
        <f t="shared" ref="C68" si="9">interest+recovery</f>
        <v>0.2</v>
      </c>
      <c r="D68" s="42">
        <f t="shared" ref="D68:AA68" si="10">interest+recov +D71</f>
        <v>14000</v>
      </c>
      <c r="E68" s="42">
        <f t="shared" si="10"/>
        <v>11633.024970131466</v>
      </c>
      <c r="F68" s="42">
        <f t="shared" si="10"/>
        <v>10958.110776624791</v>
      </c>
      <c r="G68" s="42">
        <f t="shared" si="10"/>
        <v>13121.24206703142</v>
      </c>
      <c r="H68" s="42">
        <f t="shared" si="10"/>
        <v>9900.9438378803461</v>
      </c>
      <c r="I68" s="42">
        <f t="shared" si="10"/>
        <v>9274.9926672010097</v>
      </c>
      <c r="J68" s="42">
        <f t="shared" si="10"/>
        <v>8652.8330184568622</v>
      </c>
      <c r="K68" s="42">
        <f t="shared" si="10"/>
        <v>7982.9398381874544</v>
      </c>
      <c r="L68" s="42">
        <f t="shared" si="10"/>
        <v>7368.6434134225965</v>
      </c>
      <c r="M68" s="42">
        <f t="shared" si="10"/>
        <v>6725.6721221797816</v>
      </c>
      <c r="N68" s="42">
        <f t="shared" si="10"/>
        <v>6127.935015517447</v>
      </c>
      <c r="O68" s="42">
        <f t="shared" si="10"/>
        <v>5527.2367332353897</v>
      </c>
      <c r="P68" s="42">
        <f t="shared" si="10"/>
        <v>5104.4017791757669</v>
      </c>
      <c r="Q68" s="42">
        <f t="shared" si="10"/>
        <v>4544.4480667460011</v>
      </c>
      <c r="R68" s="42">
        <f t="shared" si="10"/>
        <v>3958.1118691745064</v>
      </c>
      <c r="S68" s="42">
        <f t="shared" si="10"/>
        <v>3538.785995406874</v>
      </c>
      <c r="T68" s="42">
        <f t="shared" si="10"/>
        <v>3001.1831693796071</v>
      </c>
      <c r="U68" s="42">
        <f t="shared" si="10"/>
        <v>2555.4286266942026</v>
      </c>
      <c r="V68" s="42">
        <f t="shared" si="10"/>
        <v>2135.6109984857026</v>
      </c>
      <c r="W68" s="42">
        <f t="shared" si="10"/>
        <v>1687.0336491598259</v>
      </c>
      <c r="X68" s="42">
        <f t="shared" si="10"/>
        <v>1306.9130216466758</v>
      </c>
      <c r="Y68" s="42">
        <f t="shared" si="10"/>
        <v>983.01959799837073</v>
      </c>
      <c r="Z68" s="42">
        <f t="shared" si="10"/>
        <v>639.13223493524777</v>
      </c>
      <c r="AA68" s="42">
        <f t="shared" si="10"/>
        <v>368.3506928222593</v>
      </c>
    </row>
    <row r="69" spans="1:87" x14ac:dyDescent="0.2">
      <c r="A69" s="28" t="s">
        <v>78</v>
      </c>
      <c r="B69" s="29" t="s">
        <v>78</v>
      </c>
      <c r="C69" s="42">
        <f>0</f>
        <v>0</v>
      </c>
      <c r="D69" s="42">
        <f>prev PB_act*interest_rate/12</f>
        <v>10000</v>
      </c>
      <c r="E69" s="42">
        <f>prev PB_act*interest_rate/12</f>
        <v>9303.2278934239803</v>
      </c>
      <c r="F69" s="42">
        <f>prev PB_act*interest_rate/12</f>
        <v>8763.0586470409999</v>
      </c>
      <c r="G69" s="42">
        <f>prev PB_act*interest_rate/12</f>
        <v>8251.2968288484972</v>
      </c>
      <c r="H69" s="42">
        <f>prev PB_act*interest_rate/12</f>
        <v>7508.0022733980377</v>
      </c>
      <c r="I69" s="42">
        <f>prev PB_act*interest_rate/12</f>
        <v>6982.4281715863644</v>
      </c>
      <c r="J69" s="42">
        <f>prev PB_act*interest_rate/12</f>
        <v>6451.6742913732814</v>
      </c>
      <c r="K69" s="42">
        <f>prev PB_act*interest_rate/12</f>
        <v>5936.1318989737374</v>
      </c>
      <c r="L69" s="42">
        <f>prev PB_act*interest_rate/12</f>
        <v>5449.2508857119383</v>
      </c>
      <c r="M69" s="42">
        <f>prev PB_act*interest_rate/12</f>
        <v>4970.9212525514704</v>
      </c>
      <c r="N69" s="42">
        <f>prev PB_act*interest_rate/12</f>
        <v>4511.9639290123077</v>
      </c>
      <c r="O69" s="42">
        <f>prev PB_act*interest_rate/12</f>
        <v>4072.6955039660334</v>
      </c>
      <c r="P69" s="42">
        <f>prev PB_act*interest_rate/12</f>
        <v>3660.6170344330171</v>
      </c>
      <c r="Q69" s="42">
        <f>prev PB_act*interest_rate/12</f>
        <v>3259.460830158072</v>
      </c>
      <c r="R69" s="42">
        <f>prev PB_act*interest_rate/12</f>
        <v>2869.0000707904969</v>
      </c>
      <c r="S69" s="42">
        <f>prev PB_act*interest_rate/12</f>
        <v>2497.7473774713148</v>
      </c>
      <c r="T69" s="42">
        <f>prev PB_act*interest_rate/12</f>
        <v>2142.1316280173282</v>
      </c>
      <c r="U69" s="42">
        <f>prev PB_act*interest_rate/12</f>
        <v>1809.1660109654956</v>
      </c>
      <c r="V69" s="42">
        <f>prev PB_act*interest_rate/12</f>
        <v>1494.5596486205229</v>
      </c>
      <c r="W69" s="42">
        <f>prev PB_act*interest_rate/12</f>
        <v>1200.9911716971403</v>
      </c>
      <c r="X69" s="42">
        <f>prev PB_act*interest_rate/12</f>
        <v>930.03246895614257</v>
      </c>
      <c r="Y69" s="42">
        <f>prev PB_act*interest_rate/12</f>
        <v>679.71641544106853</v>
      </c>
      <c r="Z69" s="42">
        <f>prev PB_act*interest_rate/12</f>
        <v>442.99442540346223</v>
      </c>
      <c r="AA69" s="42">
        <f>prev PB_act*interest_rate/12</f>
        <v>227.9237752121962</v>
      </c>
    </row>
    <row r="70" spans="1:87" x14ac:dyDescent="0.2">
      <c r="A70" s="28" t="s">
        <v>31</v>
      </c>
      <c r="B70" s="29" t="s">
        <v>79</v>
      </c>
      <c r="C70" s="42">
        <v>0</v>
      </c>
      <c r="D70" s="42">
        <f>(GB_DEF-prev GB_DEF)*recovery</f>
        <v>0</v>
      </c>
      <c r="E70" s="42">
        <f>(GB_DEF-prev GB_DEF)*recovery</f>
        <v>0</v>
      </c>
      <c r="F70" s="42">
        <f>(GB_DEF-prev GB_DEF)*recovery</f>
        <v>0</v>
      </c>
      <c r="G70" s="42">
        <f>(GB_DEF-prev GB_DEF)*recovery</f>
        <v>2802.4744727948346</v>
      </c>
      <c r="H70" s="42">
        <f>(GB_DEF-prev GB_DEF)*recovery</f>
        <v>512.21520104984518</v>
      </c>
      <c r="I70" s="42">
        <f>(GB_DEF-prev GB_DEF)*recovery</f>
        <v>543.29981645488658</v>
      </c>
      <c r="J70" s="42">
        <f>(GB_DEF-prev GB_DEF)*recovery</f>
        <v>584.74346328735851</v>
      </c>
      <c r="K70" s="42">
        <f>(GB_DEF-prev GB_DEF)*recovery</f>
        <v>559.43103332909016</v>
      </c>
      <c r="L70" s="42">
        <f>(GB_DEF-prev GB_DEF)*recovery</f>
        <v>553.8683219322586</v>
      </c>
      <c r="M70" s="42">
        <f>(GB_DEF-prev GB_DEF)*recovery</f>
        <v>508.81775946723428</v>
      </c>
      <c r="N70" s="42">
        <f>(GB_DEF-prev GB_DEF)*recovery</f>
        <v>485.00207852828316</v>
      </c>
      <c r="O70" s="42">
        <f>(GB_DEF-prev GB_DEF)*recovery</f>
        <v>433.53971667513036</v>
      </c>
      <c r="P70" s="42">
        <f>(GB_DEF-prev GB_DEF)*recovery</f>
        <v>525.97879281003122</v>
      </c>
      <c r="Q70" s="42">
        <f>(GB_DEF-prev GB_DEF)*recovery</f>
        <v>467.74656766799166</v>
      </c>
      <c r="R70" s="42">
        <f>(GB_DEF-prev GB_DEF)*recovery</f>
        <v>369.77163249513109</v>
      </c>
      <c r="S70" s="42">
        <f>(GB_DEF-prev GB_DEF)*recovery</f>
        <v>414.69984607238877</v>
      </c>
      <c r="T70" s="42">
        <f>(GB_DEF-prev GB_DEF)*recovery</f>
        <v>321.88602984831232</v>
      </c>
      <c r="U70" s="42">
        <f>(GB_DEF-prev GB_DEF)*recovery</f>
        <v>292.50693788552161</v>
      </c>
      <c r="V70" s="42">
        <f>(GB_DEF-prev GB_DEF)*recovery</f>
        <v>266.15184836076224</v>
      </c>
      <c r="W70" s="42">
        <f>(GB_DEF-prev GB_DEF)*recovery</f>
        <v>184.80398035464461</v>
      </c>
      <c r="X70" s="42">
        <f>(GB_DEF-prev GB_DEF)*recovery</f>
        <v>143.5700787523194</v>
      </c>
      <c r="Y70" s="42">
        <f>(GB_DEF-prev GB_DEF)*recovery</f>
        <v>132.73503281841406</v>
      </c>
      <c r="Z70" s="42">
        <f>(GB_DEF-prev GB_DEF)*recovery</f>
        <v>84.950817901843408</v>
      </c>
      <c r="AA70" s="42">
        <f>(GB_DEF-prev GB_DEF)*recovery</f>
        <v>83.153845242799434</v>
      </c>
    </row>
    <row r="71" spans="1:87" x14ac:dyDescent="0.2">
      <c r="A71" s="70" t="s">
        <v>16</v>
      </c>
      <c r="B71" s="29" t="s">
        <v>80</v>
      </c>
      <c r="C71" s="42">
        <v>0</v>
      </c>
      <c r="D71" s="42">
        <f>prev GB_act *ins_ratio * ins</f>
        <v>4000</v>
      </c>
      <c r="E71" s="42">
        <f>prev GB_act *ins_ratio * ins</f>
        <v>2329.7970767074862</v>
      </c>
      <c r="F71" s="42">
        <f>prev GB_act *ins_ratio * ins</f>
        <v>2195.0521295837907</v>
      </c>
      <c r="G71" s="42">
        <f>prev GB_act *ins_ratio * ins</f>
        <v>2067.4707653880896</v>
      </c>
      <c r="H71" s="42">
        <f>prev GB_act *ins_ratio * ins</f>
        <v>1880.7263634324627</v>
      </c>
      <c r="I71" s="42">
        <f>prev GB_act *ins_ratio * ins</f>
        <v>1749.2646791597592</v>
      </c>
      <c r="J71" s="42">
        <f>prev GB_act *ins_ratio * ins</f>
        <v>1616.4152637962227</v>
      </c>
      <c r="K71" s="42">
        <f>prev GB_act *ins_ratio * ins</f>
        <v>1487.3769058846262</v>
      </c>
      <c r="L71" s="42">
        <f>prev GB_act *ins_ratio * ins</f>
        <v>1365.5242057783996</v>
      </c>
      <c r="M71" s="42">
        <f>prev GB_act *ins_ratio * ins</f>
        <v>1245.9331101610774</v>
      </c>
      <c r="N71" s="42">
        <f>prev GB_act *ins_ratio * ins</f>
        <v>1130.9690079768561</v>
      </c>
      <c r="O71" s="42">
        <f>prev GB_act *ins_ratio * ins</f>
        <v>1021.0015125942259</v>
      </c>
      <c r="P71" s="42">
        <f>prev GB_act *ins_ratio * ins</f>
        <v>917.80595193271881</v>
      </c>
      <c r="Q71" s="42">
        <f>prev GB_act *ins_ratio * ins</f>
        <v>817.24066891993721</v>
      </c>
      <c r="R71" s="42">
        <f>prev GB_act *ins_ratio * ins</f>
        <v>719.34016588887846</v>
      </c>
      <c r="S71" s="42">
        <f>prev GB_act *ins_ratio * ins</f>
        <v>626.33877186317011</v>
      </c>
      <c r="T71" s="42">
        <f>prev GB_act *ins_ratio * ins</f>
        <v>537.16551151396652</v>
      </c>
      <c r="U71" s="42">
        <f>prev GB_act *ins_ratio * ins</f>
        <v>453.7556778431852</v>
      </c>
      <c r="V71" s="42">
        <f>prev GB_act *ins_ratio * ins</f>
        <v>374.89950150441763</v>
      </c>
      <c r="W71" s="42">
        <f>prev GB_act *ins_ratio * ins</f>
        <v>301.23849710804092</v>
      </c>
      <c r="X71" s="42">
        <f>prev GB_act *ins_ratio * ins</f>
        <v>233.3104739382139</v>
      </c>
      <c r="Y71" s="42">
        <f>prev GB_act *ins_ratio * ins</f>
        <v>170.56814973888817</v>
      </c>
      <c r="Z71" s="42">
        <f>prev GB_act *ins_ratio * ins</f>
        <v>111.18699162994213</v>
      </c>
      <c r="AA71" s="42">
        <f>prev GB_act *ins_ratio * ins</f>
        <v>57.273072367263637</v>
      </c>
    </row>
    <row r="72" spans="1:87" x14ac:dyDescent="0.2">
      <c r="A72" s="28"/>
      <c r="B72" s="29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1:87" ht="16" customHeight="1" x14ac:dyDescent="0.2">
      <c r="A73" s="63" t="s">
        <v>81</v>
      </c>
      <c r="B73" s="26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spans="1:87" x14ac:dyDescent="0.2">
      <c r="A74" s="9" t="s">
        <v>81</v>
      </c>
      <c r="B74" s="43" t="s">
        <v>82</v>
      </c>
      <c r="C74" s="42">
        <f t="shared" ref="C74:AA74" si="11">Loan_Loss+Cost_of_Funds+Operation_cost+collect_cost</f>
        <v>0</v>
      </c>
      <c r="D74" s="42">
        <f t="shared" si="11"/>
        <v>6297.916666666667</v>
      </c>
      <c r="E74" s="42">
        <f t="shared" si="11"/>
        <v>5911.7793431018836</v>
      </c>
      <c r="F74" s="42">
        <f t="shared" si="11"/>
        <v>5579.7766260880016</v>
      </c>
      <c r="G74" s="42">
        <f t="shared" si="11"/>
        <v>19279.110890470583</v>
      </c>
      <c r="H74" s="42">
        <f t="shared" si="11"/>
        <v>7364.6697992377285</v>
      </c>
      <c r="I74" s="42">
        <f t="shared" si="11"/>
        <v>7181.8579848864683</v>
      </c>
      <c r="J74" s="42">
        <f t="shared" si="11"/>
        <v>7056.9762443648806</v>
      </c>
      <c r="K74" s="42">
        <f t="shared" si="11"/>
        <v>6607.9662254845434</v>
      </c>
      <c r="L74" s="42">
        <f t="shared" si="11"/>
        <v>6275.6760947381445</v>
      </c>
      <c r="M74" s="42">
        <f t="shared" si="11"/>
        <v>5753.3540619031783</v>
      </c>
      <c r="N74" s="42">
        <f t="shared" si="11"/>
        <v>5345.6483064486974</v>
      </c>
      <c r="O74" s="42">
        <f t="shared" si="11"/>
        <v>4813.3849021083352</v>
      </c>
      <c r="P74" s="42">
        <f t="shared" si="11"/>
        <v>5017.1194310194651</v>
      </c>
      <c r="Q74" s="42">
        <f t="shared" si="11"/>
        <v>4473.2088417001951</v>
      </c>
      <c r="R74" s="42">
        <f t="shared" si="11"/>
        <v>3735.7104093645344</v>
      </c>
      <c r="S74" s="42">
        <f t="shared" si="11"/>
        <v>3726.2940603661359</v>
      </c>
      <c r="T74" s="42">
        <f t="shared" si="11"/>
        <v>3036.8914937555542</v>
      </c>
      <c r="U74" s="42">
        <f t="shared" si="11"/>
        <v>2680.0560597642016</v>
      </c>
      <c r="V74" s="42">
        <f t="shared" si="11"/>
        <v>2349.2106910482121</v>
      </c>
      <c r="W74" s="42">
        <f t="shared" si="11"/>
        <v>1754.1136464936535</v>
      </c>
      <c r="X74" s="42">
        <f t="shared" si="11"/>
        <v>1375.3662057707127</v>
      </c>
      <c r="Y74" s="42">
        <f t="shared" si="11"/>
        <v>1162.8027473960681</v>
      </c>
      <c r="Z74" s="42">
        <f t="shared" si="11"/>
        <v>771.63324928785721</v>
      </c>
      <c r="AA74" s="42">
        <f t="shared" si="11"/>
        <v>626.22133310177298</v>
      </c>
    </row>
    <row r="75" spans="1:87" x14ac:dyDescent="0.2">
      <c r="A75" s="28" t="s">
        <v>83</v>
      </c>
      <c r="B75" s="29" t="s">
        <v>84</v>
      </c>
      <c r="C75" s="42">
        <f>Cost_of_Funds+operational_cost+collect_cost</f>
        <v>0</v>
      </c>
      <c r="D75" s="42">
        <f>GB_DEF-prev GB_DEF</f>
        <v>0</v>
      </c>
      <c r="E75" s="42">
        <f>GB_DEF-prev GB_DEF</f>
        <v>0</v>
      </c>
      <c r="F75" s="42">
        <f>GB_DEF-prev GB_DEF</f>
        <v>0</v>
      </c>
      <c r="G75" s="42">
        <f>GB_DEF-prev GB_DEF</f>
        <v>14012.372363974173</v>
      </c>
      <c r="H75" s="42">
        <f>GB_DEF-prev GB_DEF</f>
        <v>2561.076005249226</v>
      </c>
      <c r="I75" s="42">
        <f>GB_DEF-prev GB_DEF</f>
        <v>2716.499082274433</v>
      </c>
      <c r="J75" s="42">
        <f>GB_DEF-prev GB_DEF</f>
        <v>2923.7173164367923</v>
      </c>
      <c r="K75" s="42">
        <f>GB_DEF-prev GB_DEF</f>
        <v>2797.1551666454507</v>
      </c>
      <c r="L75" s="42">
        <f>GB_DEF-prev GB_DEF</f>
        <v>2769.3416096612928</v>
      </c>
      <c r="M75" s="42">
        <f>GB_DEF-prev GB_DEF</f>
        <v>2544.0887973361714</v>
      </c>
      <c r="N75" s="42">
        <f>GB_DEF-prev GB_DEF</f>
        <v>2425.0103926414158</v>
      </c>
      <c r="O75" s="42">
        <f>GB_DEF-prev GB_DEF</f>
        <v>2167.6985833756517</v>
      </c>
      <c r="P75" s="42">
        <f>GB_DEF-prev GB_DEF</f>
        <v>2629.8939640501558</v>
      </c>
      <c r="Q75" s="42">
        <f>GB_DEF-prev GB_DEF</f>
        <v>2338.7328383399581</v>
      </c>
      <c r="R75" s="42">
        <f>GB_DEF-prev GB_DEF</f>
        <v>1848.8581624756553</v>
      </c>
      <c r="S75" s="42">
        <f>GB_DEF-prev GB_DEF</f>
        <v>2073.4992303619438</v>
      </c>
      <c r="T75" s="42">
        <f>GB_DEF-prev GB_DEF</f>
        <v>1609.4301492415616</v>
      </c>
      <c r="U75" s="42">
        <f>GB_DEF-prev GB_DEF</f>
        <v>1462.5346894276081</v>
      </c>
      <c r="V75" s="42">
        <f>GB_DEF-prev GB_DEF</f>
        <v>1330.7592418038112</v>
      </c>
      <c r="W75" s="42">
        <f>GB_DEF-prev GB_DEF</f>
        <v>924.01990177322295</v>
      </c>
      <c r="X75" s="42">
        <f>GB_DEF-prev GB_DEF</f>
        <v>717.85039376159693</v>
      </c>
      <c r="Y75" s="42">
        <f>GB_DEF-prev GB_DEF</f>
        <v>663.67516409207019</v>
      </c>
      <c r="Z75" s="42">
        <f>GB_DEF-prev GB_DEF</f>
        <v>424.75408950921701</v>
      </c>
      <c r="AA75" s="42">
        <f>GB_DEF-prev GB_DEF</f>
        <v>415.76922621399717</v>
      </c>
    </row>
    <row r="76" spans="1:87" x14ac:dyDescent="0.2">
      <c r="A76" s="28" t="s">
        <v>18</v>
      </c>
      <c r="B76" s="29" t="s">
        <v>85</v>
      </c>
      <c r="C76" s="42">
        <f>IF(statement_no=0,0,prev AT1_req*At1_int_rate/12)</f>
        <v>0</v>
      </c>
      <c r="D76" s="42">
        <f>(1-Equity_Req)*prev GB_act*CoF/12</f>
        <v>6197.916666666667</v>
      </c>
      <c r="E76" s="42">
        <f>(1-Equity_Req)*prev GB_act*CoF/12</f>
        <v>5775.9552526706429</v>
      </c>
      <c r="F76" s="42">
        <f>(1-Equity_Req)*prev GB_act*CoF/12</f>
        <v>5441.9000712598145</v>
      </c>
      <c r="G76" s="42">
        <f>(1-Equity_Req)*prev GB_act*CoF/12</f>
        <v>5125.6046058579732</v>
      </c>
      <c r="H76" s="42">
        <f>(1-Equity_Req)*prev GB_act*CoF/12</f>
        <v>4662.634109342981</v>
      </c>
      <c r="I76" s="42">
        <f>(1-Equity_Req)*prev GB_act*CoF/12</f>
        <v>4336.7186837502368</v>
      </c>
      <c r="J76" s="42">
        <f>(1-Equity_Req)*prev GB_act*CoF/12</f>
        <v>4007.3628414948021</v>
      </c>
      <c r="K76" s="42">
        <f>(1-Equity_Req)*prev GB_act*CoF/12</f>
        <v>3687.4552458389699</v>
      </c>
      <c r="L76" s="42">
        <f>(1-Equity_Req)*prev GB_act*CoF/12</f>
        <v>3385.3620934922824</v>
      </c>
      <c r="M76" s="42">
        <f>(1-Equity_Req)*prev GB_act*CoF/12</f>
        <v>3088.875835607671</v>
      </c>
      <c r="N76" s="42">
        <f>(1-Equity_Req)*prev GB_act*CoF/12</f>
        <v>2803.8606656092893</v>
      </c>
      <c r="O76" s="42">
        <f>(1-Equity_Req)*prev GB_act*CoF/12</f>
        <v>2531.2329166398522</v>
      </c>
      <c r="P76" s="42">
        <f>(1-Equity_Req)*prev GB_act*CoF/12</f>
        <v>2275.3939224998653</v>
      </c>
      <c r="Q76" s="42">
        <f>(1-Equity_Req)*prev GB_act*CoF/12</f>
        <v>2026.0758250306774</v>
      </c>
      <c r="R76" s="42">
        <f>(1-Equity_Req)*prev GB_act*CoF/12</f>
        <v>1783.3641612661777</v>
      </c>
      <c r="S76" s="42">
        <f>(1-Equity_Req)*prev GB_act*CoF/12</f>
        <v>1552.7982052441093</v>
      </c>
      <c r="T76" s="42">
        <f>(1-Equity_Req)*prev GB_act*CoF/12</f>
        <v>1331.7228306283755</v>
      </c>
      <c r="U76" s="42">
        <f>(1-Equity_Req)*prev GB_act*CoF/12</f>
        <v>1124.9359513195634</v>
      </c>
      <c r="V76" s="42">
        <f>(1-Equity_Req)*prev GB_act*CoF/12</f>
        <v>929.43834747970197</v>
      </c>
      <c r="W76" s="42">
        <f>(1-Equity_Req)*prev GB_act*CoF/12</f>
        <v>746.8204407470181</v>
      </c>
      <c r="X76" s="42">
        <f>(1-Equity_Req)*prev GB_act*CoF/12</f>
        <v>578.41554997182209</v>
      </c>
      <c r="Y76" s="42">
        <f>(1-Equity_Req)*prev GB_act*CoF/12</f>
        <v>422.86687122766028</v>
      </c>
      <c r="Z76" s="42">
        <f>(1-Equity_Req)*prev GB_act*CoF/12</f>
        <v>275.6510834158982</v>
      </c>
      <c r="AA76" s="42">
        <f>(1-Equity_Req)*prev GB_act*CoF/12</f>
        <v>141.98949191050778</v>
      </c>
    </row>
    <row r="77" spans="1:87" x14ac:dyDescent="0.2">
      <c r="A77" s="28" t="s">
        <v>86</v>
      </c>
      <c r="B77" s="29" t="s">
        <v>87</v>
      </c>
      <c r="C77" s="42">
        <f>0</f>
        <v>0</v>
      </c>
      <c r="D77" s="42">
        <f>prev accnt_act*oper_cost</f>
        <v>100</v>
      </c>
      <c r="E77" s="42">
        <f>prev accnt_act*oper_cost</f>
        <v>95.923056916330779</v>
      </c>
      <c r="F77" s="42">
        <f>prev accnt_act*oper_cost</f>
        <v>93.54463783797091</v>
      </c>
      <c r="G77" s="42">
        <f>prev accnt_act*oper_cost</f>
        <v>91.363609294898509</v>
      </c>
      <c r="H77" s="42">
        <f>prev accnt_act*oper_cost</f>
        <v>86.511784918629203</v>
      </c>
      <c r="I77" s="42">
        <f>prev accnt_act*oper_cost</f>
        <v>83.870267616960277</v>
      </c>
      <c r="J77" s="42">
        <f>prev accnt_act*oper_cost</f>
        <v>81.007952830500528</v>
      </c>
      <c r="K77" s="42">
        <f>prev accnt_act*oper_cost</f>
        <v>78.14568011935809</v>
      </c>
      <c r="L77" s="42">
        <f>prev accnt_act*oper_cost</f>
        <v>75.461679210330132</v>
      </c>
      <c r="M77" s="42">
        <f>prev accnt_act*oper_cost</f>
        <v>72.665360956237961</v>
      </c>
      <c r="N77" s="42">
        <f>prev accnt_act*oper_cost</f>
        <v>69.953570553795899</v>
      </c>
      <c r="O77" s="42">
        <f>prev accnt_act*oper_cost</f>
        <v>67.288097319418227</v>
      </c>
      <c r="P77" s="42">
        <f>prev accnt_act*oper_cost</f>
        <v>64.823778445162787</v>
      </c>
      <c r="Q77" s="42">
        <f>prev accnt_act*oper_cost</f>
        <v>62.307310046052031</v>
      </c>
      <c r="R77" s="42">
        <f>prev accnt_act*oper_cost</f>
        <v>59.686946748883486</v>
      </c>
      <c r="S77" s="42">
        <f>prev accnt_act*oper_cost</f>
        <v>57.074002459190879</v>
      </c>
      <c r="T77" s="42">
        <f>prev accnt_act*oper_cost</f>
        <v>54.444208951255511</v>
      </c>
      <c r="U77" s="42">
        <f>prev accnt_act*oper_cost</f>
        <v>51.874489374245279</v>
      </c>
      <c r="V77" s="42">
        <f>prev accnt_act*oper_cost</f>
        <v>49.321457165013115</v>
      </c>
      <c r="W77" s="42">
        <f>prev accnt_act*oper_cost</f>
        <v>46.932328496671296</v>
      </c>
      <c r="X77" s="42">
        <f>prev accnt_act*oper_cost</f>
        <v>44.665305936006646</v>
      </c>
      <c r="Y77" s="42">
        <f>prev accnt_act*oper_cost</f>
        <v>42.545388926983627</v>
      </c>
      <c r="Z77" s="42">
        <f>prev accnt_act*oper_cost</f>
        <v>40.363918128561806</v>
      </c>
      <c r="AA77" s="42">
        <f>prev accnt_act*oper_cost</f>
        <v>38.391516090638824</v>
      </c>
    </row>
    <row r="78" spans="1:87" x14ac:dyDescent="0.2">
      <c r="A78" s="28" t="s">
        <v>88</v>
      </c>
      <c r="B78" s="29" t="s">
        <v>89</v>
      </c>
      <c r="C78" s="42">
        <v>0</v>
      </c>
      <c r="D78" s="42">
        <f>(prev accnt_dlq+prev accnt_b_def)*collection_cost</f>
        <v>0</v>
      </c>
      <c r="E78" s="42">
        <f>(prev accnt_dlq+prev accnt_b_def)*collection_cost</f>
        <v>39.901033514909329</v>
      </c>
      <c r="F78" s="42">
        <f>(prev accnt_dlq+prev accnt_b_def)*collection_cost</f>
        <v>44.33191699021571</v>
      </c>
      <c r="G78" s="42">
        <f>(prev accnt_dlq+prev accnt_b_def)*collection_cost</f>
        <v>49.770311343537223</v>
      </c>
      <c r="H78" s="42">
        <f>(prev accnt_dlq+prev accnt_b_def)*collection_cost</f>
        <v>54.447899726892558</v>
      </c>
      <c r="I78" s="42">
        <f>(prev accnt_dlq+prev accnt_b_def)*collection_cost</f>
        <v>44.769951244838083</v>
      </c>
      <c r="J78" s="42">
        <f>(prev accnt_dlq+prev accnt_b_def)*collection_cost</f>
        <v>44.888133602786347</v>
      </c>
      <c r="K78" s="42">
        <f>(prev accnt_dlq+prev accnt_b_def)*collection_cost</f>
        <v>45.210132880764753</v>
      </c>
      <c r="L78" s="42">
        <f>(prev accnt_dlq+prev accnt_b_def)*collection_cost</f>
        <v>45.510712374239866</v>
      </c>
      <c r="M78" s="42">
        <f>(prev accnt_dlq+prev accnt_b_def)*collection_cost</f>
        <v>47.724068003098623</v>
      </c>
      <c r="N78" s="42">
        <f>(prev accnt_dlq+prev accnt_b_def)*collection_cost</f>
        <v>46.823677644197303</v>
      </c>
      <c r="O78" s="42">
        <f>(prev accnt_dlq+prev accnt_b_def)*collection_cost</f>
        <v>47.16530477341373</v>
      </c>
      <c r="P78" s="42">
        <f>(prev accnt_dlq+prev accnt_b_def)*collection_cost</f>
        <v>47.007766024281075</v>
      </c>
      <c r="Q78" s="42">
        <f>(prev accnt_dlq+prev accnt_b_def)*collection_cost</f>
        <v>46.092868283507485</v>
      </c>
      <c r="R78" s="42">
        <f>(prev accnt_dlq+prev accnt_b_def)*collection_cost</f>
        <v>43.801138873817919</v>
      </c>
      <c r="S78" s="42">
        <f>(prev accnt_dlq+prev accnt_b_def)*collection_cost</f>
        <v>42.922622300891994</v>
      </c>
      <c r="T78" s="42">
        <f>(prev accnt_dlq+prev accnt_b_def)*collection_cost</f>
        <v>41.294304934361577</v>
      </c>
      <c r="U78" s="42">
        <f>(prev accnt_dlq+prev accnt_b_def)*collection_cost</f>
        <v>40.710929642785196</v>
      </c>
      <c r="V78" s="42">
        <f>(prev accnt_dlq+prev accnt_b_def)*collection_cost</f>
        <v>39.691644599685972</v>
      </c>
      <c r="W78" s="42">
        <f>(prev accnt_dlq+prev accnt_b_def)*collection_cost</f>
        <v>36.340975476741242</v>
      </c>
      <c r="X78" s="42">
        <f>(prev accnt_dlq+prev accnt_b_def)*collection_cost</f>
        <v>34.4349561012869</v>
      </c>
      <c r="Y78" s="42">
        <f>(prev accnt_dlq+prev accnt_b_def)*collection_cost</f>
        <v>33.715323149354028</v>
      </c>
      <c r="Z78" s="42">
        <f>(prev accnt_dlq+prev accnt_b_def)*collection_cost</f>
        <v>30.864158234180046</v>
      </c>
      <c r="AA78" s="42">
        <f>(prev accnt_dlq+prev accnt_b_def)*collection_cost</f>
        <v>30.071098886629212</v>
      </c>
    </row>
    <row r="79" spans="1:87" x14ac:dyDescent="0.2">
      <c r="A79" s="44"/>
      <c r="B79" s="45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 spans="1:87" ht="17" x14ac:dyDescent="0.2">
      <c r="A80" s="63" t="s">
        <v>90</v>
      </c>
      <c r="B80" s="26"/>
      <c r="C80" s="9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47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spans="1:87" x14ac:dyDescent="0.2">
      <c r="A81" s="48" t="s">
        <v>91</v>
      </c>
      <c r="B81" s="49" t="s">
        <v>92</v>
      </c>
      <c r="C81" s="40">
        <f>C68</f>
        <v>0.2</v>
      </c>
      <c r="D81" s="40">
        <f>(prev GB_act- GB_act)+(prev GB_DEF - GB_DEF)+Gross_profit</f>
        <v>48040.584658502776</v>
      </c>
      <c r="E81" s="40">
        <f>(prev GB_act- GB_act)+(prev GB_DEF - GB_DEF)+Gross_profit</f>
        <v>38582.014394870559</v>
      </c>
      <c r="F81" s="40">
        <f>(prev GB_act- GB_act)+(prev GB_DEF - GB_DEF)+Gross_profit</f>
        <v>36474.383615764993</v>
      </c>
      <c r="G81" s="40">
        <f>(prev GB_act- GB_act)+(prev GB_DEF - GB_DEF)+Gross_profit</f>
        <v>36457.750094182644</v>
      </c>
      <c r="H81" s="40">
        <f>(prev GB_act- GB_act)+(prev GB_DEF - GB_DEF)+Gross_profit</f>
        <v>33632.204687171805</v>
      </c>
      <c r="I81" s="40">
        <f>(prev GB_act- GB_act)+(prev GB_DEF - GB_DEF)+Gross_profit</f>
        <v>33128.376657633911</v>
      </c>
      <c r="J81" s="40">
        <f>(prev GB_act- GB_act)+(prev GB_DEF - GB_DEF)+Gross_profit</f>
        <v>31536.78728433932</v>
      </c>
      <c r="K81" s="40">
        <f>(prev GB_act- GB_act)+(prev GB_DEF - GB_DEF)+Gross_profit</f>
        <v>29556.32469278737</v>
      </c>
      <c r="L81" s="40">
        <f>(prev GB_act- GB_act)+(prev GB_DEF - GB_DEF)+Gross_profit</f>
        <v>28517.520927225731</v>
      </c>
      <c r="M81" s="40">
        <f>(prev GB_act- GB_act)+(prev GB_DEF - GB_DEF)+Gross_profit</f>
        <v>27174.403761687863</v>
      </c>
      <c r="N81" s="40">
        <f>(prev GB_act- GB_act)+(prev GB_DEF - GB_DEF)+Gross_profit</f>
        <v>25696.423699402061</v>
      </c>
      <c r="O81" s="40">
        <f>(prev GB_act- GB_act)+(prev GB_DEF - GB_DEF)+Gross_profit</f>
        <v>23998.650282161176</v>
      </c>
      <c r="P81" s="40">
        <f>(prev GB_act- GB_act)+(prev GB_DEF - GB_DEF)+Gross_profit</f>
        <v>22587.564417681926</v>
      </c>
      <c r="Q81" s="40">
        <f>(prev GB_act- GB_act)+(prev GB_DEF - GB_DEF)+Gross_profit</f>
        <v>21785.815834617795</v>
      </c>
      <c r="R81" s="40">
        <f>(prev GB_act- GB_act)+(prev GB_DEF - GB_DEF)+Gross_profit</f>
        <v>20709.532511840509</v>
      </c>
      <c r="S81" s="40">
        <f>(prev GB_act- GB_act)+(prev GB_DEF - GB_DEF)+Gross_profit</f>
        <v>19299.938834885641</v>
      </c>
      <c r="T81" s="40">
        <f>(prev GB_act- GB_act)+(prev GB_DEF - GB_DEF)+Gross_profit</f>
        <v>18073.719754294321</v>
      </c>
      <c r="U81" s="40">
        <f>(prev GB_act- GB_act)+(prev GB_DEF - GB_DEF)+Gross_profit</f>
        <v>16864.129205020105</v>
      </c>
      <c r="V81" s="40">
        <f>(prev GB_act- GB_act)+(prev GB_DEF - GB_DEF)+Gross_profit</f>
        <v>15537.05263595724</v>
      </c>
      <c r="W81" s="40">
        <f>(prev GB_act- GB_act)+(prev GB_DEF - GB_DEF)+Gross_profit</f>
        <v>14348.618381352002</v>
      </c>
      <c r="X81" s="40">
        <f>(prev GB_act- GB_act)+(prev GB_DEF - GB_DEF)+Gross_profit</f>
        <v>13137.527467750228</v>
      </c>
      <c r="Y81" s="40">
        <f>(prev GB_act- GB_act)+(prev GB_DEF - GB_DEF)+Gross_profit</f>
        <v>12195.576055695508</v>
      </c>
      <c r="Z81" s="40">
        <f>(prev GB_act- GB_act)+(prev GB_DEF - GB_DEF)+Gross_profit</f>
        <v>10997.16199796173</v>
      </c>
      <c r="AA81" s="40">
        <f>(prev GB_act- GB_act)+(prev GB_DEF - GB_DEF)+Gross_profit</f>
        <v>11407.19594006099</v>
      </c>
    </row>
    <row r="82" spans="1:87" x14ac:dyDescent="0.2">
      <c r="B82" s="26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87" ht="17" x14ac:dyDescent="0.2">
      <c r="A83" s="63" t="s">
        <v>93</v>
      </c>
      <c r="B83" s="26"/>
      <c r="C83" s="9"/>
      <c r="D83" s="8"/>
    </row>
    <row r="84" spans="1:87" x14ac:dyDescent="0.2">
      <c r="A84" s="8" t="s">
        <v>94</v>
      </c>
      <c r="B84" s="26" t="s">
        <v>95</v>
      </c>
      <c r="C84" s="42">
        <f>Gross_profit-Loan_Loss</f>
        <v>0.2</v>
      </c>
      <c r="D84" s="42">
        <f>Gross_profit-Gross_Loss</f>
        <v>7702.083333333333</v>
      </c>
      <c r="E84" s="42">
        <f t="shared" ref="E84:AA84" si="12">Gross_profit-Gross_Loss</f>
        <v>5721.2456270295825</v>
      </c>
      <c r="F84" s="42">
        <f t="shared" si="12"/>
        <v>5378.3341505367898</v>
      </c>
      <c r="G84" s="42">
        <f t="shared" si="12"/>
        <v>-6157.868823439163</v>
      </c>
      <c r="H84" s="42">
        <f t="shared" si="12"/>
        <v>2536.2740386426176</v>
      </c>
      <c r="I84" s="42">
        <f t="shared" si="12"/>
        <v>2093.1346823145414</v>
      </c>
      <c r="J84" s="42">
        <f t="shared" si="12"/>
        <v>1595.8567740919816</v>
      </c>
      <c r="K84" s="42">
        <f t="shared" si="12"/>
        <v>1374.9736127029109</v>
      </c>
      <c r="L84" s="42">
        <f t="shared" si="12"/>
        <v>1092.967318684452</v>
      </c>
      <c r="M84" s="42">
        <f t="shared" si="12"/>
        <v>972.31806027660332</v>
      </c>
      <c r="N84" s="42">
        <f t="shared" si="12"/>
        <v>782.28670906874959</v>
      </c>
      <c r="O84" s="42">
        <f t="shared" si="12"/>
        <v>713.85183112705454</v>
      </c>
      <c r="P84" s="42">
        <f t="shared" si="12"/>
        <v>87.28234815630185</v>
      </c>
      <c r="Q84" s="42">
        <f t="shared" si="12"/>
        <v>71.239225045806052</v>
      </c>
      <c r="R84" s="42">
        <f t="shared" si="12"/>
        <v>222.40145980997204</v>
      </c>
      <c r="S84" s="42">
        <f t="shared" si="12"/>
        <v>-187.5080649592619</v>
      </c>
      <c r="T84" s="42">
        <f t="shared" si="12"/>
        <v>-35.708324375947086</v>
      </c>
      <c r="U84" s="42">
        <f t="shared" si="12"/>
        <v>-124.62743306999892</v>
      </c>
      <c r="V84" s="42">
        <f t="shared" si="12"/>
        <v>-213.59969256250952</v>
      </c>
      <c r="W84" s="42">
        <f t="shared" si="12"/>
        <v>-67.079997333827578</v>
      </c>
      <c r="X84" s="42">
        <f t="shared" si="12"/>
        <v>-68.453184124036852</v>
      </c>
      <c r="Y84" s="42">
        <f t="shared" si="12"/>
        <v>-179.78314939769734</v>
      </c>
      <c r="Z84" s="42">
        <f t="shared" si="12"/>
        <v>-132.50101435260945</v>
      </c>
      <c r="AA84" s="42">
        <f t="shared" si="12"/>
        <v>-257.87064027951368</v>
      </c>
    </row>
    <row r="85" spans="1:87" x14ac:dyDescent="0.2">
      <c r="A85" s="8" t="s">
        <v>96</v>
      </c>
      <c r="B85" s="26" t="s">
        <v>96</v>
      </c>
      <c r="C85" s="42">
        <f t="shared" ref="C85:AA85" si="13">Net_Income_Bax*tax_rate</f>
        <v>4.0000000000000008E-2</v>
      </c>
      <c r="D85" s="42">
        <f>Net_Income_Bax*tax_rate</f>
        <v>1540.4166666666667</v>
      </c>
      <c r="E85" s="42">
        <f t="shared" si="13"/>
        <v>1144.2491254059166</v>
      </c>
      <c r="F85" s="42">
        <f>Net_Income_Bax*tax_rate</f>
        <v>1075.666830107358</v>
      </c>
      <c r="G85" s="42">
        <f t="shared" si="13"/>
        <v>-1231.5737646878326</v>
      </c>
      <c r="H85" s="42">
        <f t="shared" si="13"/>
        <v>507.25480772852353</v>
      </c>
      <c r="I85" s="42">
        <f>Net_Income_Bax*tax_rate</f>
        <v>418.6269364629083</v>
      </c>
      <c r="J85" s="42">
        <f t="shared" si="13"/>
        <v>319.17135481839637</v>
      </c>
      <c r="K85" s="42">
        <f t="shared" si="13"/>
        <v>274.99472254058219</v>
      </c>
      <c r="L85" s="42">
        <f t="shared" si="13"/>
        <v>218.59346373689041</v>
      </c>
      <c r="M85" s="42">
        <f t="shared" si="13"/>
        <v>194.46361205532068</v>
      </c>
      <c r="N85" s="42">
        <f t="shared" si="13"/>
        <v>156.45734181374993</v>
      </c>
      <c r="O85" s="42">
        <f t="shared" si="13"/>
        <v>142.77036622541092</v>
      </c>
      <c r="P85" s="42">
        <f t="shared" si="13"/>
        <v>17.456469631260372</v>
      </c>
      <c r="Q85" s="42">
        <f t="shared" si="13"/>
        <v>14.24784500916121</v>
      </c>
      <c r="R85" s="42">
        <f t="shared" si="13"/>
        <v>44.480291961994411</v>
      </c>
      <c r="S85" s="42">
        <f t="shared" si="13"/>
        <v>-37.501612991852383</v>
      </c>
      <c r="T85" s="42">
        <f t="shared" si="13"/>
        <v>-7.1416648751894174</v>
      </c>
      <c r="U85" s="42">
        <f t="shared" si="13"/>
        <v>-24.925486613999784</v>
      </c>
      <c r="V85" s="42">
        <f t="shared" si="13"/>
        <v>-42.719938512501905</v>
      </c>
      <c r="W85" s="42">
        <f t="shared" si="13"/>
        <v>-13.415999466765516</v>
      </c>
      <c r="X85" s="42">
        <f t="shared" si="13"/>
        <v>-13.69063682480737</v>
      </c>
      <c r="Y85" s="42">
        <f t="shared" si="13"/>
        <v>-35.95662987953947</v>
      </c>
      <c r="Z85" s="42">
        <f t="shared" si="13"/>
        <v>-26.500202870521889</v>
      </c>
      <c r="AA85" s="42">
        <f t="shared" si="13"/>
        <v>-51.57412805590274</v>
      </c>
    </row>
    <row r="86" spans="1:87" s="4" customFormat="1" x14ac:dyDescent="0.2">
      <c r="A86" s="50" t="s">
        <v>97</v>
      </c>
      <c r="B86" s="51" t="s">
        <v>98</v>
      </c>
      <c r="C86" s="52">
        <f t="shared" ref="C86:AA86" si="14">Net_Income_Bax-Tax</f>
        <v>0.16</v>
      </c>
      <c r="D86" s="52">
        <f t="shared" si="14"/>
        <v>6161.6666666666661</v>
      </c>
      <c r="E86" s="52">
        <f t="shared" si="14"/>
        <v>4576.9965016236656</v>
      </c>
      <c r="F86" s="52">
        <f t="shared" si="14"/>
        <v>4302.667320429432</v>
      </c>
      <c r="G86" s="52">
        <f t="shared" si="14"/>
        <v>-4926.2950587513305</v>
      </c>
      <c r="H86" s="52">
        <f t="shared" si="14"/>
        <v>2029.0192309140941</v>
      </c>
      <c r="I86" s="52">
        <f t="shared" si="14"/>
        <v>1674.507745851633</v>
      </c>
      <c r="J86" s="52">
        <f t="shared" si="14"/>
        <v>1276.6854192735852</v>
      </c>
      <c r="K86" s="52">
        <f t="shared" si="14"/>
        <v>1099.9788901623288</v>
      </c>
      <c r="L86" s="52">
        <f t="shared" si="14"/>
        <v>874.37385494756165</v>
      </c>
      <c r="M86" s="52">
        <f t="shared" si="14"/>
        <v>777.85444822128261</v>
      </c>
      <c r="N86" s="52">
        <f t="shared" si="14"/>
        <v>625.82936725499962</v>
      </c>
      <c r="O86" s="52">
        <f t="shared" si="14"/>
        <v>571.08146490164359</v>
      </c>
      <c r="P86" s="52">
        <f t="shared" si="14"/>
        <v>69.825878525041475</v>
      </c>
      <c r="Q86" s="52">
        <f t="shared" si="14"/>
        <v>56.991380036644841</v>
      </c>
      <c r="R86" s="52">
        <f t="shared" si="14"/>
        <v>177.92116784797764</v>
      </c>
      <c r="S86" s="52">
        <f t="shared" si="14"/>
        <v>-150.00645196740953</v>
      </c>
      <c r="T86" s="52">
        <f t="shared" si="14"/>
        <v>-28.56665950075767</v>
      </c>
      <c r="U86" s="52">
        <f t="shared" si="14"/>
        <v>-99.701946455999135</v>
      </c>
      <c r="V86" s="52">
        <f t="shared" si="14"/>
        <v>-170.87975405000762</v>
      </c>
      <c r="W86" s="52">
        <f t="shared" si="14"/>
        <v>-53.663997867062065</v>
      </c>
      <c r="X86" s="52">
        <f t="shared" si="14"/>
        <v>-54.762547299229482</v>
      </c>
      <c r="Y86" s="52">
        <f t="shared" si="14"/>
        <v>-143.82651951815788</v>
      </c>
      <c r="Z86" s="52">
        <f t="shared" si="14"/>
        <v>-106.00081148208756</v>
      </c>
      <c r="AA86" s="52">
        <f t="shared" si="14"/>
        <v>-206.29651222361093</v>
      </c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</row>
    <row r="87" spans="1:87" x14ac:dyDescent="0.2">
      <c r="B87" s="26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87" ht="17" x14ac:dyDescent="0.2">
      <c r="A88" s="63" t="s">
        <v>99</v>
      </c>
      <c r="B88" s="26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87" x14ac:dyDescent="0.2">
      <c r="A89" s="9" t="s">
        <v>100</v>
      </c>
      <c r="B89" s="26" t="s">
        <v>101</v>
      </c>
      <c r="C89" s="42">
        <f t="shared" ref="C89:AA89" si="15">GB_act</f>
        <v>500000</v>
      </c>
      <c r="D89" s="42">
        <f t="shared" si="15"/>
        <v>465959.41534149722</v>
      </c>
      <c r="E89" s="42">
        <f t="shared" si="15"/>
        <v>439010.42591675813</v>
      </c>
      <c r="F89" s="42">
        <f t="shared" si="15"/>
        <v>413494.15307761793</v>
      </c>
      <c r="G89" s="42">
        <f t="shared" si="15"/>
        <v>376145.27268649254</v>
      </c>
      <c r="H89" s="42">
        <f t="shared" si="15"/>
        <v>349852.93583195185</v>
      </c>
      <c r="I89" s="42">
        <f t="shared" si="15"/>
        <v>323283.05275924451</v>
      </c>
      <c r="J89" s="42">
        <f t="shared" si="15"/>
        <v>297475.38117692526</v>
      </c>
      <c r="K89" s="42">
        <f t="shared" si="15"/>
        <v>273104.8411556799</v>
      </c>
      <c r="L89" s="42">
        <f t="shared" si="15"/>
        <v>249186.62203221547</v>
      </c>
      <c r="M89" s="42">
        <f t="shared" si="15"/>
        <v>226193.80159537122</v>
      </c>
      <c r="N89" s="42">
        <f t="shared" si="15"/>
        <v>204200.30251884519</v>
      </c>
      <c r="O89" s="42">
        <f t="shared" si="15"/>
        <v>183561.19038654375</v>
      </c>
      <c r="P89" s="42">
        <f t="shared" si="15"/>
        <v>163448.13378398743</v>
      </c>
      <c r="Q89" s="42">
        <f t="shared" si="15"/>
        <v>143868.03317777568</v>
      </c>
      <c r="R89" s="42">
        <f t="shared" si="15"/>
        <v>125267.75437263402</v>
      </c>
      <c r="S89" s="42">
        <f t="shared" si="15"/>
        <v>107433.10230279331</v>
      </c>
      <c r="T89" s="42">
        <f t="shared" si="15"/>
        <v>90751.135568637037</v>
      </c>
      <c r="U89" s="42">
        <f t="shared" si="15"/>
        <v>74979.900300883528</v>
      </c>
      <c r="V89" s="42">
        <f t="shared" si="15"/>
        <v>60247.69942160818</v>
      </c>
      <c r="W89" s="42">
        <f t="shared" si="15"/>
        <v>46662.094787642782</v>
      </c>
      <c r="X89" s="42">
        <f t="shared" si="15"/>
        <v>34113.629947777634</v>
      </c>
      <c r="Y89" s="42">
        <f t="shared" si="15"/>
        <v>22237.398325988426</v>
      </c>
      <c r="Z89" s="42">
        <f t="shared" si="15"/>
        <v>11454.614473452728</v>
      </c>
      <c r="AA89" s="42">
        <f t="shared" si="15"/>
        <v>0</v>
      </c>
    </row>
    <row r="90" spans="1:87" x14ac:dyDescent="0.2">
      <c r="A90" s="9" t="s">
        <v>102</v>
      </c>
      <c r="B90" s="26"/>
      <c r="D90" s="8"/>
    </row>
    <row r="91" spans="1:87" x14ac:dyDescent="0.2">
      <c r="A91" s="8" t="s">
        <v>24</v>
      </c>
      <c r="B91" s="26" t="s">
        <v>103</v>
      </c>
      <c r="C91" s="42">
        <f t="shared" ref="C91:AA91" si="16">GB_act*Equity_Req</f>
        <v>62500</v>
      </c>
      <c r="D91" s="42">
        <f t="shared" si="16"/>
        <v>58244.926917687153</v>
      </c>
      <c r="E91" s="42">
        <f t="shared" si="16"/>
        <v>54876.303239594767</v>
      </c>
      <c r="F91" s="42">
        <f t="shared" si="16"/>
        <v>51686.769134702241</v>
      </c>
      <c r="G91" s="42">
        <f t="shared" si="16"/>
        <v>47018.159085811567</v>
      </c>
      <c r="H91" s="42">
        <f t="shared" si="16"/>
        <v>43731.616978993981</v>
      </c>
      <c r="I91" s="42">
        <f t="shared" si="16"/>
        <v>40410.381594905564</v>
      </c>
      <c r="J91" s="42">
        <f t="shared" si="16"/>
        <v>37184.422647115658</v>
      </c>
      <c r="K91" s="42">
        <f t="shared" si="16"/>
        <v>34138.105144459987</v>
      </c>
      <c r="L91" s="42">
        <f t="shared" si="16"/>
        <v>31148.327754026934</v>
      </c>
      <c r="M91" s="42">
        <f t="shared" si="16"/>
        <v>28274.225199421402</v>
      </c>
      <c r="N91" s="42">
        <f t="shared" si="16"/>
        <v>25525.037814855648</v>
      </c>
      <c r="O91" s="42">
        <f t="shared" si="16"/>
        <v>22945.148798317969</v>
      </c>
      <c r="P91" s="42">
        <f t="shared" si="16"/>
        <v>20431.016722998429</v>
      </c>
      <c r="Q91" s="42">
        <f t="shared" si="16"/>
        <v>17983.50414722196</v>
      </c>
      <c r="R91" s="42">
        <f t="shared" si="16"/>
        <v>15658.469296579253</v>
      </c>
      <c r="S91" s="42">
        <f t="shared" si="16"/>
        <v>13429.137787849164</v>
      </c>
      <c r="T91" s="42">
        <f t="shared" si="16"/>
        <v>11343.89194607963</v>
      </c>
      <c r="U91" s="42">
        <f t="shared" si="16"/>
        <v>9372.487537610441</v>
      </c>
      <c r="V91" s="42">
        <f t="shared" si="16"/>
        <v>7530.9624277010225</v>
      </c>
      <c r="W91" s="42">
        <f t="shared" si="16"/>
        <v>5832.7618484553477</v>
      </c>
      <c r="X91" s="42">
        <f t="shared" si="16"/>
        <v>4264.2037434722042</v>
      </c>
      <c r="Y91" s="42">
        <f t="shared" si="16"/>
        <v>2779.6747907485533</v>
      </c>
      <c r="Z91" s="42">
        <f t="shared" si="16"/>
        <v>1431.826809181591</v>
      </c>
      <c r="AA91" s="42">
        <f t="shared" si="16"/>
        <v>0</v>
      </c>
    </row>
    <row r="92" spans="1:87" x14ac:dyDescent="0.2">
      <c r="A92" s="8" t="s">
        <v>104</v>
      </c>
      <c r="B92" s="26" t="s">
        <v>105</v>
      </c>
      <c r="C92" s="42">
        <f t="shared" ref="C92:AA92" si="17">GB_act*(1-Equity_Req)</f>
        <v>437500</v>
      </c>
      <c r="D92" s="42">
        <f t="shared" si="17"/>
        <v>407714.48842381005</v>
      </c>
      <c r="E92" s="42">
        <f t="shared" si="17"/>
        <v>384134.12267716334</v>
      </c>
      <c r="F92" s="42">
        <f t="shared" si="17"/>
        <v>361807.38394291571</v>
      </c>
      <c r="G92" s="42">
        <f t="shared" si="17"/>
        <v>329127.11360068095</v>
      </c>
      <c r="H92" s="42">
        <f t="shared" si="17"/>
        <v>306121.31885295786</v>
      </c>
      <c r="I92" s="42">
        <f t="shared" si="17"/>
        <v>282872.67116433894</v>
      </c>
      <c r="J92" s="42">
        <f t="shared" si="17"/>
        <v>260290.95852980961</v>
      </c>
      <c r="K92" s="42">
        <f t="shared" si="17"/>
        <v>238966.73601121991</v>
      </c>
      <c r="L92" s="42">
        <f t="shared" si="17"/>
        <v>218038.29427818855</v>
      </c>
      <c r="M92" s="42">
        <f t="shared" si="17"/>
        <v>197919.57639594981</v>
      </c>
      <c r="N92" s="42">
        <f t="shared" si="17"/>
        <v>178675.26470398955</v>
      </c>
      <c r="O92" s="42">
        <f t="shared" si="17"/>
        <v>160616.04158822578</v>
      </c>
      <c r="P92" s="42">
        <f t="shared" si="17"/>
        <v>143017.117060989</v>
      </c>
      <c r="Q92" s="42">
        <f t="shared" si="17"/>
        <v>125884.52903055372</v>
      </c>
      <c r="R92" s="42">
        <f t="shared" si="17"/>
        <v>109609.28507605477</v>
      </c>
      <c r="S92" s="42">
        <f t="shared" si="17"/>
        <v>94003.964514944149</v>
      </c>
      <c r="T92" s="42">
        <f t="shared" si="17"/>
        <v>79407.243622557406</v>
      </c>
      <c r="U92" s="42">
        <f t="shared" si="17"/>
        <v>65607.412763273082</v>
      </c>
      <c r="V92" s="42">
        <f t="shared" si="17"/>
        <v>52716.736993907158</v>
      </c>
      <c r="W92" s="42">
        <f t="shared" si="17"/>
        <v>40829.332939187436</v>
      </c>
      <c r="X92" s="42">
        <f t="shared" si="17"/>
        <v>29849.42620430543</v>
      </c>
      <c r="Y92" s="42">
        <f t="shared" si="17"/>
        <v>19457.723535239871</v>
      </c>
      <c r="Z92" s="42">
        <f t="shared" si="17"/>
        <v>10022.787664271136</v>
      </c>
      <c r="AA92" s="42">
        <f t="shared" si="17"/>
        <v>0</v>
      </c>
    </row>
    <row r="93" spans="1:87" x14ac:dyDescent="0.2">
      <c r="B93" s="26"/>
      <c r="D93" s="8"/>
      <c r="X93" s="8">
        <f t="shared" ref="X93:AA93" si="18">assets-Eq_req-AT1_req</f>
        <v>0</v>
      </c>
      <c r="Y93" s="8">
        <f t="shared" si="18"/>
        <v>0</v>
      </c>
      <c r="Z93" s="8">
        <f t="shared" si="18"/>
        <v>0</v>
      </c>
      <c r="AA93" s="8">
        <f t="shared" si="18"/>
        <v>0</v>
      </c>
    </row>
    <row r="94" spans="1:87" x14ac:dyDescent="0.2">
      <c r="A94" s="9" t="s">
        <v>106</v>
      </c>
      <c r="B94" s="26" t="s">
        <v>107</v>
      </c>
      <c r="C94" s="42">
        <v>500000</v>
      </c>
      <c r="D94" s="42">
        <f>assets-prev assets</f>
        <v>-34040.584658502776</v>
      </c>
      <c r="E94" s="42">
        <f>assets-prev assets</f>
        <v>-26948.989424739091</v>
      </c>
      <c r="F94" s="42">
        <f>assets-prev assets</f>
        <v>-25516.272839140205</v>
      </c>
      <c r="G94" s="42">
        <f>assets-prev assets</f>
        <v>-37348.880391125393</v>
      </c>
      <c r="H94" s="42">
        <f>assets-prev assets</f>
        <v>-26292.336854540685</v>
      </c>
      <c r="I94" s="42">
        <f>assets-prev assets</f>
        <v>-26569.883072707336</v>
      </c>
      <c r="J94" s="42">
        <f>assets-prev assets</f>
        <v>-25807.67158231925</v>
      </c>
      <c r="K94" s="42">
        <f>assets-prev assets</f>
        <v>-24370.540021245368</v>
      </c>
      <c r="L94" s="42">
        <f>assets-prev assets</f>
        <v>-23918.219123464427</v>
      </c>
      <c r="M94" s="42">
        <f>assets-prev assets</f>
        <v>-22992.820436844253</v>
      </c>
      <c r="N94" s="42">
        <f>assets-prev assets</f>
        <v>-21993.49907652603</v>
      </c>
      <c r="O94" s="42">
        <f>assets-prev assets</f>
        <v>-20639.112132301438</v>
      </c>
      <c r="P94" s="42">
        <f>assets-prev assets</f>
        <v>-20113.056602556317</v>
      </c>
      <c r="Q94" s="42">
        <f>assets-prev assets</f>
        <v>-19580.100606211752</v>
      </c>
      <c r="R94" s="42">
        <f>assets-prev assets</f>
        <v>-18600.278805141657</v>
      </c>
      <c r="S94" s="42">
        <f>assets-prev assets</f>
        <v>-17834.652069840711</v>
      </c>
      <c r="T94" s="42">
        <f>assets-prev assets</f>
        <v>-16681.966734156274</v>
      </c>
      <c r="U94" s="42">
        <f>assets-prev assets</f>
        <v>-15771.235267753509</v>
      </c>
      <c r="V94" s="42">
        <f>assets-prev assets</f>
        <v>-14732.200879275348</v>
      </c>
      <c r="W94" s="42">
        <f>assets-prev assets</f>
        <v>-13585.604633965399</v>
      </c>
      <c r="X94" s="42">
        <f>assets-prev assets</f>
        <v>-12548.464839865148</v>
      </c>
      <c r="Y94" s="42">
        <f>assets-prev assets</f>
        <v>-11876.231621789208</v>
      </c>
      <c r="Z94" s="42">
        <f>assets-prev assets</f>
        <v>-10782.783852535698</v>
      </c>
      <c r="AA94" s="42">
        <f>assets-prev assets</f>
        <v>-11454.614473452728</v>
      </c>
    </row>
    <row r="95" spans="1:87" x14ac:dyDescent="0.2">
      <c r="A95" s="9" t="s">
        <v>108</v>
      </c>
      <c r="B95" s="26"/>
      <c r="D95" s="8"/>
    </row>
    <row r="96" spans="1:87" x14ac:dyDescent="0.2">
      <c r="A96" s="8" t="s">
        <v>109</v>
      </c>
      <c r="B96" s="26" t="s">
        <v>110</v>
      </c>
      <c r="C96" s="42">
        <f>C91</f>
        <v>62500</v>
      </c>
      <c r="D96" s="42">
        <f>Eq_req-prev Eq_req</f>
        <v>-4255.073082312847</v>
      </c>
      <c r="E96" s="42">
        <f>Eq_req-prev Eq_req</f>
        <v>-3368.6236780923864</v>
      </c>
      <c r="F96" s="42">
        <f>Eq_req-prev Eq_req</f>
        <v>-3189.5341048925256</v>
      </c>
      <c r="G96" s="42">
        <f>Eq_req-prev Eq_req</f>
        <v>-4668.6100488906741</v>
      </c>
      <c r="H96" s="42">
        <f>Eq_req-prev Eq_req</f>
        <v>-3286.5421068175856</v>
      </c>
      <c r="I96" s="42">
        <f>Eq_req-prev Eq_req</f>
        <v>-3321.235384088417</v>
      </c>
      <c r="J96" s="42">
        <f>Eq_req-prev Eq_req</f>
        <v>-3225.9589477899062</v>
      </c>
      <c r="K96" s="42">
        <f>Eq_req-prev Eq_req</f>
        <v>-3046.317502655671</v>
      </c>
      <c r="L96" s="42">
        <f>Eq_req-prev Eq_req</f>
        <v>-2989.7773904330534</v>
      </c>
      <c r="M96" s="42">
        <f>Eq_req-prev Eq_req</f>
        <v>-2874.1025546055316</v>
      </c>
      <c r="N96" s="42">
        <f>Eq_req-prev Eq_req</f>
        <v>-2749.1873845657537</v>
      </c>
      <c r="O96" s="42">
        <f>Eq_req-prev Eq_req</f>
        <v>-2579.8890165376797</v>
      </c>
      <c r="P96" s="42">
        <f>Eq_req-prev Eq_req</f>
        <v>-2514.1320753195396</v>
      </c>
      <c r="Q96" s="42">
        <f>Eq_req-prev Eq_req</f>
        <v>-2447.512575776469</v>
      </c>
      <c r="R96" s="42">
        <f>Eq_req-prev Eq_req</f>
        <v>-2325.0348506427072</v>
      </c>
      <c r="S96" s="42">
        <f>Eq_req-prev Eq_req</f>
        <v>-2229.3315087300889</v>
      </c>
      <c r="T96" s="42">
        <f>Eq_req-prev Eq_req</f>
        <v>-2085.2458417695343</v>
      </c>
      <c r="U96" s="42">
        <f>Eq_req-prev Eq_req</f>
        <v>-1971.4044084691886</v>
      </c>
      <c r="V96" s="42">
        <f>Eq_req-prev Eq_req</f>
        <v>-1841.5251099094185</v>
      </c>
      <c r="W96" s="42">
        <f>Eq_req-prev Eq_req</f>
        <v>-1698.2005792456748</v>
      </c>
      <c r="X96" s="42">
        <f>Eq_req-prev Eq_req</f>
        <v>-1568.5581049831435</v>
      </c>
      <c r="Y96" s="42">
        <f>Eq_req-prev Eq_req</f>
        <v>-1484.5289527236509</v>
      </c>
      <c r="Z96" s="42">
        <f>Eq_req-prev Eq_req</f>
        <v>-1347.8479815669623</v>
      </c>
      <c r="AA96" s="42">
        <f>Eq_req-prev Eq_req</f>
        <v>-1431.826809181591</v>
      </c>
    </row>
    <row r="97" spans="1:87" x14ac:dyDescent="0.2">
      <c r="A97" s="8" t="s">
        <v>111</v>
      </c>
      <c r="B97" s="26" t="s">
        <v>112</v>
      </c>
      <c r="C97" s="42">
        <f>C92</f>
        <v>437500</v>
      </c>
      <c r="D97" s="42">
        <f>Fund_req-prev Fund_req</f>
        <v>-29785.511576189951</v>
      </c>
      <c r="E97" s="42">
        <f>Fund_req-prev Fund_req</f>
        <v>-23580.365746646712</v>
      </c>
      <c r="F97" s="42">
        <f>Fund_req-prev Fund_req</f>
        <v>-22326.738734247629</v>
      </c>
      <c r="G97" s="42">
        <f>Fund_req-prev Fund_req</f>
        <v>-32680.270342234755</v>
      </c>
      <c r="H97" s="42">
        <f>Fund_req-prev Fund_req</f>
        <v>-23005.794747723092</v>
      </c>
      <c r="I97" s="42">
        <f>Fund_req-prev Fund_req</f>
        <v>-23248.647688618919</v>
      </c>
      <c r="J97" s="42">
        <f>Fund_req-prev Fund_req</f>
        <v>-22581.712634529336</v>
      </c>
      <c r="K97" s="42">
        <f>Fund_req-prev Fund_req</f>
        <v>-21324.222518589697</v>
      </c>
      <c r="L97" s="42">
        <f>Fund_req-prev Fund_req</f>
        <v>-20928.441733031359</v>
      </c>
      <c r="M97" s="42">
        <f>Fund_req-prev Fund_req</f>
        <v>-20118.717882238736</v>
      </c>
      <c r="N97" s="42">
        <f>Fund_req-prev Fund_req</f>
        <v>-19244.311691960262</v>
      </c>
      <c r="O97" s="42">
        <f>Fund_req-prev Fund_req</f>
        <v>-18059.223115763773</v>
      </c>
      <c r="P97" s="42">
        <f>Fund_req-prev Fund_req</f>
        <v>-17598.924527236784</v>
      </c>
      <c r="Q97" s="42">
        <f>Fund_req-prev Fund_req</f>
        <v>-17132.588030435276</v>
      </c>
      <c r="R97" s="42">
        <f>Fund_req-prev Fund_req</f>
        <v>-16275.243954498947</v>
      </c>
      <c r="S97" s="42">
        <f>Fund_req-prev Fund_req</f>
        <v>-15605.320561110624</v>
      </c>
      <c r="T97" s="42">
        <f>Fund_req-prev Fund_req</f>
        <v>-14596.720892386744</v>
      </c>
      <c r="U97" s="42">
        <f>Fund_req-prev Fund_req</f>
        <v>-13799.830859284324</v>
      </c>
      <c r="V97" s="42">
        <f>Fund_req-prev Fund_req</f>
        <v>-12890.675769365924</v>
      </c>
      <c r="W97" s="42">
        <f>Fund_req-prev Fund_req</f>
        <v>-11887.404054719722</v>
      </c>
      <c r="X97" s="42">
        <f>Fund_req-prev Fund_req</f>
        <v>-10979.906734882006</v>
      </c>
      <c r="Y97" s="42">
        <f>Fund_req-prev Fund_req</f>
        <v>-10391.702669065558</v>
      </c>
      <c r="Z97" s="42">
        <f>Fund_req-prev Fund_req</f>
        <v>-9434.9358709687349</v>
      </c>
      <c r="AA97" s="42">
        <f>Fund_req-prev Fund_req</f>
        <v>-10022.787664271136</v>
      </c>
    </row>
    <row r="98" spans="1:87" x14ac:dyDescent="0.2">
      <c r="B98" s="26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87" ht="17" x14ac:dyDescent="0.2">
      <c r="A99" s="63" t="s">
        <v>113</v>
      </c>
      <c r="B99" s="26"/>
      <c r="C99" s="9"/>
      <c r="E99" s="4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87" x14ac:dyDescent="0.2">
      <c r="A100" s="8" t="s">
        <v>114</v>
      </c>
      <c r="B100" s="53" t="s">
        <v>115</v>
      </c>
      <c r="C100" s="54">
        <f>1/(1+discount_rate_month)^(statement_no)</f>
        <v>1</v>
      </c>
      <c r="D100" s="54">
        <f>1/(1+discount_rate_month)^(statement_no)</f>
        <v>0.97837358933250107</v>
      </c>
      <c r="E100" s="54">
        <f t="shared" ref="E100:AA100" si="19">1/(1+discount_rate_month)^(statement_no)</f>
        <v>0.95721488030336144</v>
      </c>
      <c r="F100" s="54">
        <f t="shared" si="19"/>
        <v>0.93651375820488014</v>
      </c>
      <c r="G100" s="54">
        <f t="shared" si="19"/>
        <v>0.91626032707417848</v>
      </c>
      <c r="H100" s="54">
        <f t="shared" si="19"/>
        <v>0.89644490496253548</v>
      </c>
      <c r="I100" s="54">
        <f t="shared" si="19"/>
        <v>0.87705801930702865</v>
      </c>
      <c r="J100" s="54">
        <f t="shared" si="19"/>
        <v>0.85809040240227163</v>
      </c>
      <c r="K100" s="54">
        <f t="shared" si="19"/>
        <v>0.83953298697008061</v>
      </c>
      <c r="L100" s="54">
        <f t="shared" si="19"/>
        <v>0.8213769018249536</v>
      </c>
      <c r="M100" s="54">
        <f t="shared" si="19"/>
        <v>0.80361346763328922</v>
      </c>
      <c r="N100" s="54">
        <f t="shared" si="19"/>
        <v>0.78623419276431894</v>
      </c>
      <c r="O100" s="54">
        <f t="shared" si="19"/>
        <v>0.76923076923076805</v>
      </c>
      <c r="P100" s="54">
        <f t="shared" si="19"/>
        <v>0.75259506871730741</v>
      </c>
      <c r="Q100" s="54">
        <f t="shared" si="19"/>
        <v>0.73631913869489241</v>
      </c>
      <c r="R100" s="54">
        <f t="shared" si="19"/>
        <v>0.72039519861913748</v>
      </c>
      <c r="S100" s="54">
        <f t="shared" si="19"/>
        <v>0.70481563621090548</v>
      </c>
      <c r="T100" s="54">
        <f t="shared" si="19"/>
        <v>0.68957300381733388</v>
      </c>
      <c r="U100" s="54">
        <f t="shared" si="19"/>
        <v>0.67466001485155946</v>
      </c>
      <c r="V100" s="54">
        <f t="shared" si="19"/>
        <v>0.66006954030943865</v>
      </c>
      <c r="W100" s="54">
        <f t="shared" si="19"/>
        <v>0.64579460536159949</v>
      </c>
      <c r="X100" s="54">
        <f t="shared" si="19"/>
        <v>0.63182838601919411</v>
      </c>
      <c r="Y100" s="54">
        <f t="shared" si="19"/>
        <v>0.61816420587176002</v>
      </c>
      <c r="Z100" s="54">
        <f t="shared" si="19"/>
        <v>0.60479553289562893</v>
      </c>
      <c r="AA100" s="54">
        <f t="shared" si="19"/>
        <v>0.59171597633135908</v>
      </c>
    </row>
    <row r="101" spans="1:87" x14ac:dyDescent="0.2">
      <c r="B101" s="55">
        <f>((1+discount_rate)^(1/12)-1)</f>
        <v>2.2104450593615876E-2</v>
      </c>
      <c r="C101" s="9"/>
      <c r="D101" s="8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87" x14ac:dyDescent="0.2">
      <c r="A102" s="8" t="s">
        <v>116</v>
      </c>
      <c r="B102" s="80">
        <f>SUMPRODUCT(Cash_flow_to_Client,coeff_discount)</f>
        <v>19332.788863100013</v>
      </c>
      <c r="C102" s="81">
        <f>initial_amount-repayment</f>
        <v>499999.8</v>
      </c>
      <c r="D102" s="42">
        <f>-repayment</f>
        <v>-48040.584658502776</v>
      </c>
      <c r="E102" s="42">
        <f>-repayment</f>
        <v>-38582.014394870559</v>
      </c>
      <c r="F102" s="42">
        <f>-repayment</f>
        <v>-36474.383615764993</v>
      </c>
      <c r="G102" s="42">
        <f t="shared" ref="G102:AA102" si="20">-repayment</f>
        <v>-36457.750094182644</v>
      </c>
      <c r="H102" s="42">
        <f t="shared" si="20"/>
        <v>-33632.204687171805</v>
      </c>
      <c r="I102" s="42">
        <f t="shared" si="20"/>
        <v>-33128.376657633911</v>
      </c>
      <c r="J102" s="42">
        <f t="shared" si="20"/>
        <v>-31536.78728433932</v>
      </c>
      <c r="K102" s="42">
        <f t="shared" si="20"/>
        <v>-29556.32469278737</v>
      </c>
      <c r="L102" s="42">
        <f t="shared" si="20"/>
        <v>-28517.520927225731</v>
      </c>
      <c r="M102" s="42">
        <f t="shared" si="20"/>
        <v>-27174.403761687863</v>
      </c>
      <c r="N102" s="42">
        <f t="shared" si="20"/>
        <v>-25696.423699402061</v>
      </c>
      <c r="O102" s="42">
        <f t="shared" si="20"/>
        <v>-23998.650282161176</v>
      </c>
      <c r="P102" s="42">
        <f t="shared" si="20"/>
        <v>-22587.564417681926</v>
      </c>
      <c r="Q102" s="42">
        <f t="shared" si="20"/>
        <v>-21785.815834617795</v>
      </c>
      <c r="R102" s="42">
        <f t="shared" si="20"/>
        <v>-20709.532511840509</v>
      </c>
      <c r="S102" s="42">
        <f t="shared" si="20"/>
        <v>-19299.938834885641</v>
      </c>
      <c r="T102" s="42">
        <f t="shared" si="20"/>
        <v>-18073.719754294321</v>
      </c>
      <c r="U102" s="42">
        <f t="shared" si="20"/>
        <v>-16864.129205020105</v>
      </c>
      <c r="V102" s="42">
        <f t="shared" si="20"/>
        <v>-15537.05263595724</v>
      </c>
      <c r="W102" s="42">
        <f t="shared" si="20"/>
        <v>-14348.618381352002</v>
      </c>
      <c r="X102" s="42">
        <f t="shared" si="20"/>
        <v>-13137.527467750228</v>
      </c>
      <c r="Y102" s="42">
        <f t="shared" si="20"/>
        <v>-12195.576055695508</v>
      </c>
      <c r="Z102" s="42">
        <f t="shared" si="20"/>
        <v>-10997.16199796173</v>
      </c>
      <c r="AA102" s="42">
        <f t="shared" si="20"/>
        <v>-11407.19594006099</v>
      </c>
    </row>
    <row r="103" spans="1:87" x14ac:dyDescent="0.2">
      <c r="A103" s="8" t="s">
        <v>117</v>
      </c>
      <c r="B103" s="80">
        <f>SUMPRODUCT(to_bondholders,coeff_discount)</f>
        <v>-30566.197255604966</v>
      </c>
      <c r="C103" s="81">
        <f>Cost_of_Funds-Fund_req_chng</f>
        <v>-437500</v>
      </c>
      <c r="D103" s="81">
        <f t="shared" ref="D103:AA103" si="21">Cost_of_Funds-Fund_req_chng</f>
        <v>35983.428242856615</v>
      </c>
      <c r="E103" s="81">
        <f t="shared" si="21"/>
        <v>29356.320999317355</v>
      </c>
      <c r="F103" s="81">
        <f t="shared" si="21"/>
        <v>27768.638805507442</v>
      </c>
      <c r="G103" s="81">
        <f t="shared" si="21"/>
        <v>37805.874948092729</v>
      </c>
      <c r="H103" s="81">
        <f t="shared" si="21"/>
        <v>27668.428857066072</v>
      </c>
      <c r="I103" s="81">
        <f t="shared" si="21"/>
        <v>27585.366372369157</v>
      </c>
      <c r="J103" s="81">
        <f t="shared" si="21"/>
        <v>26589.07547602414</v>
      </c>
      <c r="K103" s="81">
        <f t="shared" si="21"/>
        <v>25011.677764428667</v>
      </c>
      <c r="L103" s="81">
        <f t="shared" si="21"/>
        <v>24313.803826523643</v>
      </c>
      <c r="M103" s="81">
        <f t="shared" si="21"/>
        <v>23207.593717846408</v>
      </c>
      <c r="N103" s="81">
        <f t="shared" si="21"/>
        <v>22048.172357569551</v>
      </c>
      <c r="O103" s="81">
        <f t="shared" si="21"/>
        <v>20590.456032403625</v>
      </c>
      <c r="P103" s="81">
        <f t="shared" si="21"/>
        <v>19874.318449736649</v>
      </c>
      <c r="Q103" s="81">
        <f t="shared" si="21"/>
        <v>19158.663855465955</v>
      </c>
      <c r="R103" s="81">
        <f t="shared" si="21"/>
        <v>18058.608115765124</v>
      </c>
      <c r="S103" s="81">
        <f t="shared" si="21"/>
        <v>17158.118766354732</v>
      </c>
      <c r="T103" s="81">
        <f t="shared" si="21"/>
        <v>15928.44372301512</v>
      </c>
      <c r="U103" s="81">
        <f t="shared" si="21"/>
        <v>14924.766810603887</v>
      </c>
      <c r="V103" s="81">
        <f t="shared" si="21"/>
        <v>13820.114116845625</v>
      </c>
      <c r="W103" s="81">
        <f t="shared" si="21"/>
        <v>12634.22449546674</v>
      </c>
      <c r="X103" s="81">
        <f t="shared" si="21"/>
        <v>11558.322284853828</v>
      </c>
      <c r="Y103" s="81">
        <f t="shared" si="21"/>
        <v>10814.569540293218</v>
      </c>
      <c r="Z103" s="81">
        <f t="shared" si="21"/>
        <v>9710.5869543846329</v>
      </c>
      <c r="AA103" s="81">
        <f t="shared" si="21"/>
        <v>10164.777156181644</v>
      </c>
    </row>
    <row r="104" spans="1:87" x14ac:dyDescent="0.2">
      <c r="A104" s="8" t="s">
        <v>118</v>
      </c>
      <c r="B104" s="80">
        <f>SUMPRODUCT(cost_tax,coeff_discount)</f>
        <v>6313.6424372334714</v>
      </c>
      <c r="C104" s="81">
        <f t="shared" ref="C104:AA104" si="22">Operation_cost+collect_cost+Tax</f>
        <v>4.0000000000000008E-2</v>
      </c>
      <c r="D104" s="81">
        <f t="shared" si="22"/>
        <v>1640.4166666666667</v>
      </c>
      <c r="E104" s="81">
        <f t="shared" si="22"/>
        <v>1280.0732158371568</v>
      </c>
      <c r="F104" s="81">
        <f t="shared" si="22"/>
        <v>1213.5433849355445</v>
      </c>
      <c r="G104" s="81">
        <f t="shared" si="22"/>
        <v>-1090.4398440493969</v>
      </c>
      <c r="H104" s="81">
        <f t="shared" si="22"/>
        <v>648.21449237404522</v>
      </c>
      <c r="I104" s="81">
        <f t="shared" si="22"/>
        <v>547.26715532470666</v>
      </c>
      <c r="J104" s="81">
        <f t="shared" si="22"/>
        <v>445.06744125168325</v>
      </c>
      <c r="K104" s="81">
        <f t="shared" si="22"/>
        <v>398.35053554070504</v>
      </c>
      <c r="L104" s="81">
        <f t="shared" si="22"/>
        <v>339.56585532146039</v>
      </c>
      <c r="M104" s="81">
        <f t="shared" si="22"/>
        <v>314.85304101465726</v>
      </c>
      <c r="N104" s="81">
        <f t="shared" si="22"/>
        <v>273.23459001174314</v>
      </c>
      <c r="O104" s="81">
        <f t="shared" si="22"/>
        <v>257.22376831824289</v>
      </c>
      <c r="P104" s="81">
        <f t="shared" si="22"/>
        <v>129.28801410070423</v>
      </c>
      <c r="Q104" s="81">
        <f t="shared" si="22"/>
        <v>122.64802333872072</v>
      </c>
      <c r="R104" s="81">
        <f t="shared" si="22"/>
        <v>147.96837758469582</v>
      </c>
      <c r="S104" s="81">
        <f t="shared" si="22"/>
        <v>62.495011768230498</v>
      </c>
      <c r="T104" s="81">
        <f t="shared" si="22"/>
        <v>88.596849010427675</v>
      </c>
      <c r="U104" s="81">
        <f t="shared" si="22"/>
        <v>67.659932403030695</v>
      </c>
      <c r="V104" s="81">
        <f t="shared" si="22"/>
        <v>46.293163252197182</v>
      </c>
      <c r="W104" s="81">
        <f t="shared" si="22"/>
        <v>69.857304506647026</v>
      </c>
      <c r="X104" s="81">
        <f t="shared" si="22"/>
        <v>65.409625212486176</v>
      </c>
      <c r="Y104" s="81">
        <f t="shared" si="22"/>
        <v>40.304082196798184</v>
      </c>
      <c r="Z104" s="81">
        <f t="shared" si="22"/>
        <v>44.72787349221997</v>
      </c>
      <c r="AA104" s="81">
        <f t="shared" si="22"/>
        <v>16.888486921365292</v>
      </c>
    </row>
    <row r="105" spans="1:87" s="6" customFormat="1" x14ac:dyDescent="0.2">
      <c r="A105" s="56" t="s">
        <v>119</v>
      </c>
      <c r="B105" s="57">
        <f>SUMPRODUCT(shareholders,coeff_discount)</f>
        <v>4919.7659552714877</v>
      </c>
      <c r="C105" s="58">
        <f>Net_Income_Atax-Eq_req_chng</f>
        <v>-62499.839999999997</v>
      </c>
      <c r="D105" s="58">
        <f t="shared" ref="D105:AA105" si="23">Net_Income_Atax-Eq_req_chng</f>
        <v>10416.739748979513</v>
      </c>
      <c r="E105" s="58">
        <f t="shared" si="23"/>
        <v>7945.620179716052</v>
      </c>
      <c r="F105" s="58">
        <f t="shared" si="23"/>
        <v>7492.2014253219577</v>
      </c>
      <c r="G105" s="58">
        <f t="shared" si="23"/>
        <v>-257.68500986065646</v>
      </c>
      <c r="H105" s="58">
        <f t="shared" si="23"/>
        <v>5315.5613377316795</v>
      </c>
      <c r="I105" s="58">
        <f t="shared" si="23"/>
        <v>4995.7431299400505</v>
      </c>
      <c r="J105" s="58">
        <f t="shared" si="23"/>
        <v>4502.6443670634917</v>
      </c>
      <c r="K105" s="58">
        <f t="shared" si="23"/>
        <v>4146.2963928179997</v>
      </c>
      <c r="L105" s="58">
        <f t="shared" si="23"/>
        <v>3864.1512453806149</v>
      </c>
      <c r="M105" s="58">
        <f t="shared" si="23"/>
        <v>3651.9570028268145</v>
      </c>
      <c r="N105" s="58">
        <f t="shared" si="23"/>
        <v>3375.0167518207536</v>
      </c>
      <c r="O105" s="58">
        <f t="shared" si="23"/>
        <v>3150.9704814393235</v>
      </c>
      <c r="P105" s="58">
        <f t="shared" si="23"/>
        <v>2583.957953844581</v>
      </c>
      <c r="Q105" s="58">
        <f t="shared" si="23"/>
        <v>2504.5039558131139</v>
      </c>
      <c r="R105" s="58">
        <f t="shared" si="23"/>
        <v>2502.956018490685</v>
      </c>
      <c r="S105" s="58">
        <f t="shared" si="23"/>
        <v>2079.3250567626792</v>
      </c>
      <c r="T105" s="58">
        <f t="shared" si="23"/>
        <v>2056.6791822687765</v>
      </c>
      <c r="U105" s="58">
        <f t="shared" si="23"/>
        <v>1871.7024620131895</v>
      </c>
      <c r="V105" s="58">
        <f t="shared" si="23"/>
        <v>1670.6453558594108</v>
      </c>
      <c r="W105" s="58">
        <f t="shared" si="23"/>
        <v>1644.5365813786127</v>
      </c>
      <c r="X105" s="58">
        <f t="shared" si="23"/>
        <v>1513.795557683914</v>
      </c>
      <c r="Y105" s="58">
        <f t="shared" si="23"/>
        <v>1340.702433205493</v>
      </c>
      <c r="Z105" s="58">
        <f t="shared" si="23"/>
        <v>1241.8471700848747</v>
      </c>
      <c r="AA105" s="58">
        <f t="shared" si="23"/>
        <v>1225.53029695798</v>
      </c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</row>
    <row r="106" spans="1:87" x14ac:dyDescent="0.2">
      <c r="A106" s="59"/>
      <c r="C106" s="60">
        <v>-62499.841999999997</v>
      </c>
      <c r="D106" s="60">
        <v>7013.8196294079262</v>
      </c>
      <c r="E106" s="60">
        <v>5791.9432377544508</v>
      </c>
      <c r="F106" s="60">
        <v>5689.4548950202461</v>
      </c>
      <c r="G106" s="60">
        <v>-5229.1033213884366</v>
      </c>
      <c r="H106" s="60">
        <v>2796.0011834785464</v>
      </c>
      <c r="I106" s="60">
        <v>2506.3731006017915</v>
      </c>
      <c r="J106" s="60">
        <v>2246.329156959358</v>
      </c>
      <c r="K106" s="60">
        <v>2023.4347139357185</v>
      </c>
      <c r="L106" s="60">
        <v>1834.9851537589602</v>
      </c>
      <c r="M106" s="60">
        <v>1677.726406278432</v>
      </c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spans="1:87" x14ac:dyDescent="0.2">
      <c r="C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87" x14ac:dyDescent="0.2">
      <c r="A108" s="8" t="s">
        <v>120</v>
      </c>
      <c r="B108" s="61" t="s">
        <v>121</v>
      </c>
      <c r="C108" s="47">
        <f>CFtS*coeff_discount</f>
        <v>-62499.839999999997</v>
      </c>
      <c r="D108" s="47">
        <f>prev C108 + CFtS*coeff_discount</f>
        <v>-52308.376942648378</v>
      </c>
      <c r="E108" s="47">
        <f>prev D108 + CFtS*coeff_discount</f>
        <v>-44702.711073385501</v>
      </c>
      <c r="F108" s="47">
        <f>prev E108 + CFtS*coeff_discount</f>
        <v>-37686.161359329271</v>
      </c>
      <c r="G108" s="47">
        <f>prev F108 + CFtS*coeff_discount</f>
        <v>-37922.267910746312</v>
      </c>
      <c r="H108" s="47">
        <f>prev G108 + CFtS*coeff_discount</f>
        <v>-33157.160032520907</v>
      </c>
      <c r="I108" s="47">
        <f>prev H108 + CFtS*coeff_discount</f>
        <v>-28775.603458008991</v>
      </c>
      <c r="J108" s="47">
        <f>prev I108 + CFtS*coeff_discount</f>
        <v>-24911.927541201156</v>
      </c>
      <c r="K108" s="47">
        <f>prev J108 + CFtS*coeff_discount</f>
        <v>-21430.974945675389</v>
      </c>
      <c r="L108" s="47">
        <f>prev K108 + CFtS*coeff_discount</f>
        <v>-18257.050367561624</v>
      </c>
      <c r="M108" s="47">
        <f>prev L108 + CFtS*coeff_discount</f>
        <v>-15322.288536872293</v>
      </c>
      <c r="N108" s="47">
        <f>prev M108 + CFtS*coeff_discount</f>
        <v>-12668.734965438449</v>
      </c>
      <c r="O108" s="47">
        <f>prev N108 + CFtS*coeff_discount</f>
        <v>-10244.911518177434</v>
      </c>
      <c r="P108" s="47">
        <f>prev O108 + CFtS*coeff_discount</f>
        <v>-8300.2375043411394</v>
      </c>
      <c r="Q108" s="47">
        <f>prev P108 + CFtS*coeff_discount</f>
        <v>-6456.1233087388764</v>
      </c>
      <c r="R108" s="47">
        <f>prev Q108 + CFtS*coeff_discount</f>
        <v>-4653.0058106633142</v>
      </c>
      <c r="S108" s="47">
        <f>prev R108 + CFtS*coeff_discount</f>
        <v>-3187.4649978918492</v>
      </c>
      <c r="T108" s="47">
        <f>prev S108 + CFtS*coeff_discount</f>
        <v>-1769.234556286191</v>
      </c>
      <c r="U108" s="47">
        <f>prev T108 + CFtS*coeff_discount</f>
        <v>-506.47174546667225</v>
      </c>
      <c r="V108" s="47">
        <f>prev U108 + CFtS*coeff_discount</f>
        <v>596.27036659554756</v>
      </c>
      <c r="W108" s="47">
        <f>prev V108 + CFtS*coeff_discount</f>
        <v>1658.3032191696627</v>
      </c>
      <c r="X108" s="47">
        <f>prev W108 + CFtS*coeff_discount</f>
        <v>2614.762223144116</v>
      </c>
      <c r="Y108" s="47">
        <f>prev X108 + CFtS*coeff_discount</f>
        <v>3443.536478076926</v>
      </c>
      <c r="Z108" s="47">
        <f>prev Y108 + CFtS*coeff_discount</f>
        <v>4194.6000990833363</v>
      </c>
      <c r="AA108" s="47">
        <f>prev Z108 + CFtS*coeff_discount</f>
        <v>4919.7659552714877</v>
      </c>
    </row>
    <row r="109" spans="1:87" x14ac:dyDescent="0.2"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 spans="1:87" x14ac:dyDescent="0.2">
      <c r="D110" s="36"/>
      <c r="E110" s="62"/>
      <c r="F110" s="32"/>
      <c r="G110" s="32"/>
      <c r="H110" s="32"/>
      <c r="I110" s="33"/>
      <c r="J110" s="33"/>
      <c r="K110" s="27"/>
    </row>
    <row r="111" spans="1:87" x14ac:dyDescent="0.2">
      <c r="D111" s="36"/>
      <c r="E111" s="62"/>
      <c r="F111" s="32"/>
      <c r="G111" s="33"/>
      <c r="H111" s="33"/>
      <c r="I111" s="27"/>
    </row>
    <row r="112" spans="1:87" x14ac:dyDescent="0.2">
      <c r="D112" s="36"/>
      <c r="E112" s="62"/>
      <c r="F112" s="32"/>
      <c r="G112" s="33"/>
      <c r="H112" s="33"/>
      <c r="I112" s="27"/>
    </row>
    <row r="113" spans="4:11" x14ac:dyDescent="0.2">
      <c r="D113" s="36"/>
      <c r="E113" s="62"/>
      <c r="F113" s="33"/>
      <c r="G113" s="33"/>
      <c r="H113" s="33"/>
    </row>
    <row r="114" spans="4:11" x14ac:dyDescent="0.2">
      <c r="D114" s="36"/>
      <c r="E114" s="62"/>
      <c r="F114" s="33"/>
      <c r="G114" s="33"/>
      <c r="H114" s="31" t="s">
        <v>5</v>
      </c>
      <c r="I114" s="31" t="s">
        <v>6</v>
      </c>
    </row>
    <row r="115" spans="4:11" x14ac:dyDescent="0.2">
      <c r="D115" s="36"/>
      <c r="E115" s="62"/>
      <c r="F115" s="33"/>
      <c r="G115" s="31">
        <v>0.01</v>
      </c>
      <c r="H115" s="8">
        <f>12173-8486</f>
        <v>3687</v>
      </c>
      <c r="I115" s="71">
        <f>8483-8486</f>
        <v>-3</v>
      </c>
    </row>
    <row r="116" spans="4:11" x14ac:dyDescent="0.2">
      <c r="D116" s="36"/>
      <c r="E116" s="62"/>
      <c r="F116" s="33"/>
      <c r="G116" s="31">
        <v>-0.01</v>
      </c>
      <c r="H116" s="8">
        <f>4865-8486</f>
        <v>-3621</v>
      </c>
      <c r="I116" s="8">
        <f>8488-8486</f>
        <v>2</v>
      </c>
    </row>
    <row r="117" spans="4:11" x14ac:dyDescent="0.2">
      <c r="D117" s="47"/>
      <c r="E117" s="62"/>
      <c r="F117" s="27"/>
      <c r="G117" s="27"/>
      <c r="I117" s="27"/>
    </row>
    <row r="118" spans="4:11" x14ac:dyDescent="0.2">
      <c r="D118" s="47"/>
      <c r="E118" s="62"/>
      <c r="F118" s="27"/>
      <c r="G118" s="27"/>
      <c r="H118" s="27"/>
    </row>
    <row r="119" spans="4:11" x14ac:dyDescent="0.2">
      <c r="D119" s="47"/>
      <c r="E119" s="62"/>
      <c r="F119" s="27"/>
      <c r="G119" s="27"/>
      <c r="H119" s="27"/>
      <c r="I119" s="27"/>
      <c r="J119" s="27"/>
      <c r="K119" s="27"/>
    </row>
    <row r="120" spans="4:11" x14ac:dyDescent="0.2">
      <c r="E120" s="62"/>
    </row>
    <row r="121" spans="4:11" x14ac:dyDescent="0.2">
      <c r="E121" s="62"/>
    </row>
    <row r="122" spans="4:11" x14ac:dyDescent="0.2">
      <c r="E122" s="42"/>
    </row>
    <row r="123" spans="4:11" x14ac:dyDescent="0.2">
      <c r="E123" s="42"/>
    </row>
  </sheetData>
  <pageMargins left="0.7" right="0.7" top="0.75" bottom="0.75" header="0.3" footer="0.3"/>
  <pageSetup paperSize="9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05AE-E199-4445-92B6-6D6DEB708AE9}">
  <dimension ref="A1:Z38"/>
  <sheetViews>
    <sheetView tabSelected="1" topLeftCell="A11" workbookViewId="0">
      <selection activeCell="S21" sqref="S21"/>
    </sheetView>
  </sheetViews>
  <sheetFormatPr baseColWidth="10" defaultColWidth="11.5" defaultRowHeight="15" x14ac:dyDescent="0.2"/>
  <cols>
    <col min="1" max="1" width="13.5" bestFit="1" customWidth="1"/>
    <col min="6" max="6" width="13.5" bestFit="1" customWidth="1"/>
    <col min="10" max="10" width="12.1640625" bestFit="1" customWidth="1"/>
    <col min="11" max="11" width="13.5" bestFit="1" customWidth="1"/>
  </cols>
  <sheetData>
    <row r="1" spans="1:15" x14ac:dyDescent="0.2">
      <c r="A1" t="s">
        <v>5</v>
      </c>
      <c r="B1" s="7">
        <v>0.06</v>
      </c>
    </row>
    <row r="2" spans="1:15" x14ac:dyDescent="0.2">
      <c r="A2" t="s">
        <v>6</v>
      </c>
      <c r="B2" s="7">
        <v>0.16</v>
      </c>
    </row>
    <row r="4" spans="1:15" x14ac:dyDescent="0.2">
      <c r="A4" t="s">
        <v>122</v>
      </c>
      <c r="B4" s="65">
        <f>(C8-B1)/(B1-B8)</f>
        <v>-0.29146407347379788</v>
      </c>
    </row>
    <row r="5" spans="1:15" x14ac:dyDescent="0.2">
      <c r="A5" t="s">
        <v>123</v>
      </c>
      <c r="B5" s="66">
        <f>(M8-B2)/(B2-L8)</f>
        <v>2.2916511089537743</v>
      </c>
    </row>
    <row r="6" spans="1:15" x14ac:dyDescent="0.2">
      <c r="B6" s="82" t="s">
        <v>124</v>
      </c>
      <c r="C6" s="82"/>
      <c r="D6" s="82"/>
      <c r="G6" s="82" t="s">
        <v>125</v>
      </c>
      <c r="H6" s="82"/>
      <c r="I6" s="82"/>
      <c r="L6" s="82" t="s">
        <v>126</v>
      </c>
      <c r="M6" s="82"/>
      <c r="N6" s="82"/>
    </row>
    <row r="7" spans="1:15" x14ac:dyDescent="0.2">
      <c r="A7" s="67"/>
      <c r="B7" s="83" t="s">
        <v>127</v>
      </c>
      <c r="C7" s="83"/>
      <c r="D7" s="83"/>
      <c r="F7" s="67"/>
      <c r="G7" s="83" t="s">
        <v>127</v>
      </c>
      <c r="H7" s="83"/>
      <c r="I7" s="83"/>
      <c r="K7" s="67"/>
      <c r="L7" s="83" t="s">
        <v>127</v>
      </c>
      <c r="M7" s="83"/>
      <c r="N7" s="83"/>
    </row>
    <row r="8" spans="1:15" x14ac:dyDescent="0.2">
      <c r="A8" s="67" t="s">
        <v>128</v>
      </c>
      <c r="B8" s="68">
        <v>2.6682000000000001E-2</v>
      </c>
      <c r="C8" s="68">
        <v>5.0289E-2</v>
      </c>
      <c r="D8" s="68">
        <v>0.10054200000000001</v>
      </c>
      <c r="F8" s="67" t="s">
        <v>128</v>
      </c>
      <c r="G8" s="68">
        <v>2.6682000000000001E-2</v>
      </c>
      <c r="H8" s="68">
        <v>5.0289E-2</v>
      </c>
      <c r="I8" s="68">
        <v>0.10054200000000001</v>
      </c>
      <c r="K8" s="67" t="s">
        <v>129</v>
      </c>
      <c r="L8" s="68">
        <v>0.133218</v>
      </c>
      <c r="M8" s="68">
        <v>0.22137499999999999</v>
      </c>
      <c r="N8" s="68">
        <v>0.38111600000000001</v>
      </c>
    </row>
    <row r="9" spans="1:15" x14ac:dyDescent="0.2">
      <c r="A9" s="67" t="s">
        <v>130</v>
      </c>
      <c r="B9" s="68"/>
      <c r="C9" s="68"/>
      <c r="D9" s="68"/>
      <c r="F9" s="67" t="s">
        <v>130</v>
      </c>
      <c r="K9" s="67" t="s">
        <v>130</v>
      </c>
    </row>
    <row r="10" spans="1:15" x14ac:dyDescent="0.2">
      <c r="A10" s="67">
        <v>0</v>
      </c>
      <c r="B10" s="68">
        <v>0</v>
      </c>
      <c r="C10" s="68">
        <v>0</v>
      </c>
      <c r="D10" s="68">
        <v>0</v>
      </c>
      <c r="E10" s="68">
        <f>($B$4*B10+C10)/($B$4+1)</f>
        <v>0</v>
      </c>
      <c r="F10" s="67">
        <v>0</v>
      </c>
      <c r="G10" s="68">
        <v>0</v>
      </c>
      <c r="H10" s="68">
        <v>0</v>
      </c>
      <c r="I10" s="68">
        <v>0</v>
      </c>
      <c r="J10" s="68">
        <f>($B$4*G10+H10)/($B$4 + 1)</f>
        <v>0</v>
      </c>
      <c r="K10" s="67">
        <v>0</v>
      </c>
      <c r="L10" s="68">
        <v>0</v>
      </c>
      <c r="M10" s="68">
        <v>0</v>
      </c>
      <c r="N10" s="68">
        <v>0</v>
      </c>
      <c r="O10" s="68">
        <f>($B$5*L10+M10)/($B$5+1)</f>
        <v>0</v>
      </c>
    </row>
    <row r="11" spans="1:15" x14ac:dyDescent="0.2">
      <c r="A11" s="67">
        <v>1</v>
      </c>
      <c r="B11" s="68">
        <v>0</v>
      </c>
      <c r="C11" s="68">
        <v>0</v>
      </c>
      <c r="D11" s="68">
        <v>0</v>
      </c>
      <c r="E11" s="68">
        <f t="shared" ref="E11:E34" si="0">($B$4*B11+C11)/($B$4+1)</f>
        <v>0</v>
      </c>
      <c r="F11" s="67">
        <v>1</v>
      </c>
      <c r="G11" s="68">
        <v>5.5949964489444587E-2</v>
      </c>
      <c r="H11" s="68">
        <v>7.5253223553000889E-2</v>
      </c>
      <c r="I11" s="68">
        <v>8.683332280390689E-2</v>
      </c>
      <c r="J11" s="68">
        <f t="shared" ref="J11:J34" si="1">($B$4*G11+H11)/($B$4 + 1)</f>
        <v>8.3193832218489736E-2</v>
      </c>
      <c r="K11" s="67">
        <v>1</v>
      </c>
      <c r="L11" s="68">
        <v>3.4251710232100281E-2</v>
      </c>
      <c r="M11" s="68">
        <v>5.5705772488056159E-2</v>
      </c>
      <c r="N11" s="68">
        <v>0.1110177939430755</v>
      </c>
      <c r="O11" s="68">
        <f t="shared" ref="O11:O34" si="2">($B$5*L11+M11)/($B$5+1)</f>
        <v>4.0769430836692204E-2</v>
      </c>
    </row>
    <row r="12" spans="1:15" x14ac:dyDescent="0.2">
      <c r="A12" s="67">
        <v>2</v>
      </c>
      <c r="B12" s="68">
        <v>0</v>
      </c>
      <c r="C12" s="68">
        <v>0</v>
      </c>
      <c r="D12" s="68">
        <v>0</v>
      </c>
      <c r="E12" s="68">
        <f t="shared" si="0"/>
        <v>0</v>
      </c>
      <c r="F12" s="67">
        <v>2</v>
      </c>
      <c r="G12" s="68">
        <v>6.5531673173995608E-2</v>
      </c>
      <c r="H12" s="68">
        <v>8.6256849741994268E-2</v>
      </c>
      <c r="I12" s="68">
        <v>0.1036751289799351</v>
      </c>
      <c r="J12" s="68">
        <f t="shared" si="1"/>
        <v>9.4782379866611324E-2</v>
      </c>
      <c r="K12" s="67">
        <v>2</v>
      </c>
      <c r="L12" s="68">
        <v>2.060762788452853E-2</v>
      </c>
      <c r="M12" s="68">
        <v>3.4391232115639658E-2</v>
      </c>
      <c r="N12" s="68">
        <v>6.1116725279362037E-2</v>
      </c>
      <c r="O12" s="68">
        <f t="shared" si="2"/>
        <v>2.4795071746248169E-2</v>
      </c>
    </row>
    <row r="13" spans="1:15" x14ac:dyDescent="0.2">
      <c r="A13" s="67">
        <v>3</v>
      </c>
      <c r="B13" s="68">
        <v>0</v>
      </c>
      <c r="C13" s="68">
        <v>0</v>
      </c>
      <c r="D13" s="68">
        <v>0</v>
      </c>
      <c r="E13" s="68">
        <f t="shared" si="0"/>
        <v>0</v>
      </c>
      <c r="F13" s="67">
        <v>3</v>
      </c>
      <c r="G13" s="68">
        <v>7.6402187364659174E-2</v>
      </c>
      <c r="H13" s="68">
        <v>9.9463458960679443E-2</v>
      </c>
      <c r="I13" s="68">
        <v>0.1165764100166819</v>
      </c>
      <c r="J13" s="68">
        <f t="shared" si="1"/>
        <v>0.10894996755850858</v>
      </c>
      <c r="K13" s="67">
        <v>3</v>
      </c>
      <c r="L13" s="68">
        <v>1.9775665511666169E-2</v>
      </c>
      <c r="M13" s="68">
        <v>3.1427162360489369E-2</v>
      </c>
      <c r="N13" s="68">
        <v>6.0573287339160363E-2</v>
      </c>
      <c r="O13" s="68">
        <f t="shared" si="2"/>
        <v>2.3315377486950978E-2</v>
      </c>
    </row>
    <row r="14" spans="1:15" x14ac:dyDescent="0.2">
      <c r="A14" s="67">
        <v>4</v>
      </c>
      <c r="B14" s="68">
        <v>1.9775474656897569E-2</v>
      </c>
      <c r="C14" s="68">
        <v>2.5962240383505961E-2</v>
      </c>
      <c r="D14" s="68">
        <v>3.082789128170537E-2</v>
      </c>
      <c r="E14" s="68">
        <f t="shared" si="0"/>
        <v>2.8507234748359356E-2</v>
      </c>
      <c r="F14" s="67">
        <v>4</v>
      </c>
      <c r="G14" s="68">
        <v>6.5234133133290004E-2</v>
      </c>
      <c r="H14" s="68">
        <v>8.6868437680440821E-2</v>
      </c>
      <c r="I14" s="68">
        <v>0.1113385354936786</v>
      </c>
      <c r="J14" s="68">
        <f t="shared" si="1"/>
        <v>9.5767947633309938E-2</v>
      </c>
      <c r="K14" s="67">
        <v>4</v>
      </c>
      <c r="L14" s="68">
        <v>2.1111934029467361E-2</v>
      </c>
      <c r="M14" s="68">
        <v>3.2584629681470412E-2</v>
      </c>
      <c r="N14" s="68">
        <v>5.9765058132105198E-2</v>
      </c>
      <c r="O14" s="68">
        <f t="shared" si="2"/>
        <v>2.4597326397083612E-2</v>
      </c>
    </row>
    <row r="15" spans="1:15" x14ac:dyDescent="0.2">
      <c r="A15" s="67">
        <v>5</v>
      </c>
      <c r="B15" s="68">
        <v>2.574711023096156E-3</v>
      </c>
      <c r="C15" s="68">
        <v>4.7825199404007684E-3</v>
      </c>
      <c r="D15" s="68">
        <v>8.1771584880486834E-3</v>
      </c>
      <c r="E15" s="68">
        <f t="shared" si="0"/>
        <v>5.6907265060781136E-3</v>
      </c>
      <c r="F15" s="67">
        <v>5</v>
      </c>
      <c r="G15" s="68">
        <v>6.6800005935834447E-2</v>
      </c>
      <c r="H15" s="68">
        <v>9.0954025608521977E-2</v>
      </c>
      <c r="I15" s="68">
        <v>0.1169067967917157</v>
      </c>
      <c r="J15" s="68">
        <f t="shared" si="1"/>
        <v>0.10089004818832749</v>
      </c>
      <c r="K15" s="67">
        <v>5</v>
      </c>
      <c r="L15" s="68">
        <v>2.108024507100606E-2</v>
      </c>
      <c r="M15" s="68">
        <v>3.3465545639399047E-2</v>
      </c>
      <c r="N15" s="68">
        <v>5.7736904109420943E-2</v>
      </c>
      <c r="O15" s="68">
        <f t="shared" si="2"/>
        <v>2.4842885812214371E-2</v>
      </c>
    </row>
    <row r="16" spans="1:15" x14ac:dyDescent="0.2">
      <c r="A16" s="67">
        <v>6</v>
      </c>
      <c r="B16" s="68">
        <v>4.4275565409264946E-3</v>
      </c>
      <c r="C16" s="68">
        <v>5.8613941440901129E-3</v>
      </c>
      <c r="D16" s="68">
        <v>9.1390162458421711E-3</v>
      </c>
      <c r="E16" s="68">
        <f t="shared" si="0"/>
        <v>6.4512190673892151E-3</v>
      </c>
      <c r="F16" s="67">
        <v>6</v>
      </c>
      <c r="G16" s="68">
        <v>6.8264033598760418E-2</v>
      </c>
      <c r="H16" s="68">
        <v>9.3686882444164246E-2</v>
      </c>
      <c r="I16" s="68">
        <v>0.1221874155780648</v>
      </c>
      <c r="J16" s="68">
        <f t="shared" si="1"/>
        <v>0.1041448519082095</v>
      </c>
      <c r="K16" s="67">
        <v>6</v>
      </c>
      <c r="L16" s="68">
        <v>2.3802941077405559E-2</v>
      </c>
      <c r="M16" s="68">
        <v>3.6553889371636811E-2</v>
      </c>
      <c r="N16" s="68">
        <v>5.7224588276154412E-2</v>
      </c>
      <c r="O16" s="68">
        <f t="shared" si="2"/>
        <v>2.7676665197056877E-2</v>
      </c>
    </row>
    <row r="17" spans="1:15" x14ac:dyDescent="0.2">
      <c r="A17" s="67">
        <v>7</v>
      </c>
      <c r="B17" s="68">
        <v>4.2849814321461134E-3</v>
      </c>
      <c r="C17" s="68">
        <v>6.5373038199172647E-3</v>
      </c>
      <c r="D17" s="68">
        <v>1.2620517093708931E-2</v>
      </c>
      <c r="E17" s="68">
        <f t="shared" si="0"/>
        <v>7.4638214929653281E-3</v>
      </c>
      <c r="F17" s="67">
        <v>7</v>
      </c>
      <c r="G17" s="68">
        <v>7.1675965103206785E-2</v>
      </c>
      <c r="H17" s="68">
        <v>9.7391670668844979E-2</v>
      </c>
      <c r="I17" s="68">
        <v>0.13106923402847631</v>
      </c>
      <c r="J17" s="68">
        <f t="shared" si="1"/>
        <v>0.10797010997701258</v>
      </c>
      <c r="K17" s="67">
        <v>7</v>
      </c>
      <c r="L17" s="68">
        <v>2.3741309793317251E-2</v>
      </c>
      <c r="M17" s="68">
        <v>3.7329573832256137E-2</v>
      </c>
      <c r="N17" s="68">
        <v>6.1287887558718557E-2</v>
      </c>
      <c r="O17" s="68">
        <f t="shared" si="2"/>
        <v>2.7869409518703335E-2</v>
      </c>
    </row>
    <row r="18" spans="1:15" x14ac:dyDescent="0.2">
      <c r="A18" s="67">
        <v>8</v>
      </c>
      <c r="B18" s="68">
        <v>3.6531338253645469E-3</v>
      </c>
      <c r="C18" s="68">
        <v>6.5226230729644712E-3</v>
      </c>
      <c r="D18" s="68">
        <v>1.027997537290176E-2</v>
      </c>
      <c r="E18" s="68">
        <f t="shared" si="0"/>
        <v>7.7030191454617323E-3</v>
      </c>
      <c r="F18" s="67">
        <v>8</v>
      </c>
      <c r="G18" s="68">
        <v>7.5748330870017033E-2</v>
      </c>
      <c r="H18" s="68">
        <v>0.1018891057371827</v>
      </c>
      <c r="I18" s="68">
        <v>0.13805610933181439</v>
      </c>
      <c r="J18" s="68">
        <f t="shared" si="1"/>
        <v>0.11264240199401522</v>
      </c>
      <c r="K18" s="67">
        <v>8</v>
      </c>
      <c r="L18" s="68">
        <v>2.3227033212167882E-2</v>
      </c>
      <c r="M18" s="68">
        <v>3.4471536146710828E-2</v>
      </c>
      <c r="N18" s="68">
        <v>6.0779217832274052E-2</v>
      </c>
      <c r="O18" s="68">
        <f t="shared" si="2"/>
        <v>2.6643100882267016E-2</v>
      </c>
    </row>
    <row r="19" spans="1:15" x14ac:dyDescent="0.2">
      <c r="A19" s="67">
        <v>9</v>
      </c>
      <c r="B19" s="68">
        <v>3.601249629586916E-3</v>
      </c>
      <c r="C19" s="68">
        <v>6.8873472435185268E-3</v>
      </c>
      <c r="D19" s="68">
        <v>1.184004831766807E-2</v>
      </c>
      <c r="E19" s="68">
        <f t="shared" si="0"/>
        <v>8.2391197656047667E-3</v>
      </c>
      <c r="F19" s="67">
        <v>9</v>
      </c>
      <c r="G19" s="68">
        <v>7.9659251190280431E-2</v>
      </c>
      <c r="H19" s="68">
        <v>0.1102237737238847</v>
      </c>
      <c r="I19" s="68">
        <v>0.14756982667469101</v>
      </c>
      <c r="J19" s="68">
        <f t="shared" si="1"/>
        <v>0.12279682740812374</v>
      </c>
      <c r="K19" s="67">
        <v>9</v>
      </c>
      <c r="L19" s="68">
        <v>2.4665684796652178E-2</v>
      </c>
      <c r="M19" s="68">
        <v>3.8330419810245001E-2</v>
      </c>
      <c r="N19" s="68">
        <v>6.0527633402609332E-2</v>
      </c>
      <c r="O19" s="68">
        <f t="shared" si="2"/>
        <v>2.8817016320343353E-2</v>
      </c>
    </row>
    <row r="20" spans="1:15" x14ac:dyDescent="0.2">
      <c r="A20" s="67">
        <v>10</v>
      </c>
      <c r="B20" s="68">
        <v>4.5220260060980823E-3</v>
      </c>
      <c r="C20" s="68">
        <v>7.1441891648345301E-3</v>
      </c>
      <c r="D20" s="68">
        <v>1.394536265515336E-2</v>
      </c>
      <c r="E20" s="68">
        <f t="shared" si="0"/>
        <v>8.2228449209445671E-3</v>
      </c>
      <c r="F20" s="67">
        <v>10</v>
      </c>
      <c r="G20" s="68">
        <v>8.2816514993442336E-2</v>
      </c>
      <c r="H20" s="68">
        <v>0.1129382239452511</v>
      </c>
      <c r="I20" s="68">
        <v>0.14945469241035589</v>
      </c>
      <c r="J20" s="68">
        <f t="shared" si="1"/>
        <v>0.12532912137529367</v>
      </c>
      <c r="K20" s="67">
        <v>10</v>
      </c>
      <c r="L20" s="68">
        <v>2.507716309800391E-2</v>
      </c>
      <c r="M20" s="68">
        <v>3.8305910919745029E-2</v>
      </c>
      <c r="N20" s="68">
        <v>5.8050213097388767E-2</v>
      </c>
      <c r="O20" s="68">
        <f t="shared" si="2"/>
        <v>2.9096042190553235E-2</v>
      </c>
    </row>
    <row r="21" spans="1:15" x14ac:dyDescent="0.2">
      <c r="A21" s="67">
        <v>11</v>
      </c>
      <c r="B21" s="68">
        <v>4.2483035034537814E-3</v>
      </c>
      <c r="C21" s="68">
        <v>7.291844275942397E-3</v>
      </c>
      <c r="D21" s="68">
        <v>1.4394435948086849E-2</v>
      </c>
      <c r="E21" s="68">
        <f t="shared" si="0"/>
        <v>8.5438383642059187E-3</v>
      </c>
      <c r="F21" s="67">
        <v>11</v>
      </c>
      <c r="G21" s="68">
        <v>8.4758701600641403E-2</v>
      </c>
      <c r="H21" s="68">
        <v>0.1177397460407037</v>
      </c>
      <c r="I21" s="68">
        <v>0.15270447804833401</v>
      </c>
      <c r="J21" s="68">
        <f t="shared" si="1"/>
        <v>0.13130686268226954</v>
      </c>
      <c r="K21" s="67">
        <v>11</v>
      </c>
      <c r="L21" s="68">
        <v>2.5322852333876902E-2</v>
      </c>
      <c r="M21" s="68">
        <v>3.9268826088937191E-2</v>
      </c>
      <c r="N21" s="68">
        <v>5.9007991944141407E-2</v>
      </c>
      <c r="O21" s="68">
        <f t="shared" si="2"/>
        <v>2.9559623879052269E-2</v>
      </c>
    </row>
    <row r="22" spans="1:15" x14ac:dyDescent="0.2">
      <c r="A22" s="67">
        <v>12</v>
      </c>
      <c r="B22" s="68">
        <v>4.9322604056450704E-3</v>
      </c>
      <c r="C22" s="68">
        <v>7.3615823478214229E-3</v>
      </c>
      <c r="D22" s="68">
        <v>1.3890825969111479E-2</v>
      </c>
      <c r="E22" s="68">
        <f t="shared" si="0"/>
        <v>8.360910741114707E-3</v>
      </c>
      <c r="F22" s="67">
        <v>12</v>
      </c>
      <c r="G22" s="68">
        <v>9.0012715484882627E-2</v>
      </c>
      <c r="H22" s="68">
        <v>0.12284698308013831</v>
      </c>
      <c r="I22" s="68">
        <v>0.1595113919235524</v>
      </c>
      <c r="J22" s="68">
        <f t="shared" si="1"/>
        <v>0.13635372144661975</v>
      </c>
      <c r="K22" s="67">
        <v>12</v>
      </c>
      <c r="L22" s="68">
        <v>2.3855388986165221E-2</v>
      </c>
      <c r="M22" s="68">
        <v>3.8362024061985578E-2</v>
      </c>
      <c r="N22" s="68">
        <v>6.0246424572611403E-2</v>
      </c>
      <c r="O22" s="68">
        <f t="shared" si="2"/>
        <v>2.8262488826230343E-2</v>
      </c>
    </row>
    <row r="23" spans="1:15" x14ac:dyDescent="0.2">
      <c r="A23" s="67">
        <v>13</v>
      </c>
      <c r="B23" s="68">
        <v>4.5141842470207876E-3</v>
      </c>
      <c r="C23" s="68">
        <v>9.2027337021200369E-3</v>
      </c>
      <c r="D23" s="68">
        <v>1.305990993162731E-2</v>
      </c>
      <c r="E23" s="68">
        <f t="shared" si="0"/>
        <v>1.1131420267904289E-2</v>
      </c>
      <c r="F23" s="67">
        <v>13</v>
      </c>
      <c r="G23" s="68">
        <v>9.367692414099868E-2</v>
      </c>
      <c r="H23" s="68">
        <v>0.1239281518213531</v>
      </c>
      <c r="I23" s="68">
        <v>0.15779420097637309</v>
      </c>
      <c r="J23" s="68">
        <f t="shared" si="1"/>
        <v>0.1363723282098786</v>
      </c>
      <c r="K23" s="67">
        <v>13</v>
      </c>
      <c r="L23" s="68">
        <v>2.258625882177644E-2</v>
      </c>
      <c r="M23" s="68">
        <v>3.9381792353012611E-2</v>
      </c>
      <c r="N23" s="68">
        <v>5.7002282924937073E-2</v>
      </c>
      <c r="O23" s="68">
        <f t="shared" si="2"/>
        <v>2.7688723504485323E-2</v>
      </c>
    </row>
    <row r="24" spans="1:15" x14ac:dyDescent="0.2">
      <c r="A24" s="67">
        <v>14</v>
      </c>
      <c r="B24" s="68">
        <v>5.6385044373361906E-3</v>
      </c>
      <c r="C24" s="68">
        <v>9.3925699955995316E-3</v>
      </c>
      <c r="D24" s="68">
        <v>1.329616790763221E-2</v>
      </c>
      <c r="E24" s="68">
        <f t="shared" si="0"/>
        <v>1.093684629653973E-2</v>
      </c>
      <c r="F24" s="67">
        <v>14</v>
      </c>
      <c r="G24" s="68">
        <v>9.2567795507090711E-2</v>
      </c>
      <c r="H24" s="68">
        <v>0.1228823532226259</v>
      </c>
      <c r="I24" s="68">
        <v>0.16883799799419449</v>
      </c>
      <c r="J24" s="68">
        <f t="shared" si="1"/>
        <v>0.13535258112009541</v>
      </c>
      <c r="K24" s="67">
        <v>14</v>
      </c>
      <c r="L24" s="68">
        <v>2.781032789302619E-2</v>
      </c>
      <c r="M24" s="68">
        <v>3.8700088154582438E-2</v>
      </c>
      <c r="N24" s="68">
        <v>6.094840208625367E-2</v>
      </c>
      <c r="O24" s="68">
        <f t="shared" si="2"/>
        <v>3.1118625127789165E-2</v>
      </c>
    </row>
    <row r="25" spans="1:15" x14ac:dyDescent="0.2">
      <c r="A25" s="67">
        <v>15</v>
      </c>
      <c r="B25" s="68">
        <v>4.1669279296368241E-3</v>
      </c>
      <c r="C25" s="68">
        <v>8.0407934052519128E-3</v>
      </c>
      <c r="D25" s="68">
        <v>1.529957462658444E-2</v>
      </c>
      <c r="E25" s="68">
        <f t="shared" si="0"/>
        <v>9.6343507244241126E-3</v>
      </c>
      <c r="F25" s="67">
        <v>15</v>
      </c>
      <c r="G25" s="68">
        <v>9.7631517631463022E-2</v>
      </c>
      <c r="H25" s="68">
        <v>0.12788846096357559</v>
      </c>
      <c r="I25" s="68">
        <v>0.16208038063939209</v>
      </c>
      <c r="J25" s="68">
        <f t="shared" si="1"/>
        <v>0.14033498854853535</v>
      </c>
      <c r="K25" s="67">
        <v>15</v>
      </c>
      <c r="L25" s="68">
        <v>3.1149321823385388E-2</v>
      </c>
      <c r="M25" s="68">
        <v>4.1003900936236473E-2</v>
      </c>
      <c r="N25" s="68">
        <v>5.718161094076029E-2</v>
      </c>
      <c r="O25" s="68">
        <f t="shared" si="2"/>
        <v>3.4143132159494577E-2</v>
      </c>
    </row>
    <row r="26" spans="1:15" x14ac:dyDescent="0.2">
      <c r="A26" s="67">
        <v>16</v>
      </c>
      <c r="B26" s="68">
        <v>4.8901282800507314E-3</v>
      </c>
      <c r="C26" s="68">
        <v>1.0022999425349019E-2</v>
      </c>
      <c r="D26" s="68">
        <v>1.387174297910721E-2</v>
      </c>
      <c r="E26" s="68">
        <f t="shared" si="0"/>
        <v>1.2134462622366499E-2</v>
      </c>
      <c r="F26" s="67">
        <v>16</v>
      </c>
      <c r="G26" s="68">
        <v>9.4158509390268069E-2</v>
      </c>
      <c r="H26" s="68">
        <v>0.12591149297362611</v>
      </c>
      <c r="I26" s="68">
        <v>0.16563651033852911</v>
      </c>
      <c r="J26" s="68">
        <f t="shared" si="1"/>
        <v>0.13897343322770286</v>
      </c>
      <c r="K26" s="67">
        <v>16</v>
      </c>
      <c r="L26" s="68">
        <v>3.064371253151944E-2</v>
      </c>
      <c r="M26" s="68">
        <v>4.1501987130766457E-2</v>
      </c>
      <c r="N26" s="68">
        <v>6.0984963554588677E-2</v>
      </c>
      <c r="O26" s="68">
        <f t="shared" si="2"/>
        <v>3.3942444456573982E-2</v>
      </c>
    </row>
    <row r="27" spans="1:15" x14ac:dyDescent="0.2">
      <c r="A27" s="67">
        <v>17</v>
      </c>
      <c r="B27" s="68">
        <v>5.0133485917807138E-3</v>
      </c>
      <c r="C27" s="68">
        <v>9.0271829312244638E-3</v>
      </c>
      <c r="D27" s="68">
        <v>1.385535531675865E-2</v>
      </c>
      <c r="E27" s="68">
        <f t="shared" si="0"/>
        <v>1.0678317987366211E-2</v>
      </c>
      <c r="F27" s="67">
        <v>17</v>
      </c>
      <c r="G27" s="68">
        <v>9.6954669429901705E-2</v>
      </c>
      <c r="H27" s="68">
        <v>0.13152936919472391</v>
      </c>
      <c r="I27" s="68">
        <v>0.16791511682641899</v>
      </c>
      <c r="J27" s="68">
        <f t="shared" si="1"/>
        <v>0.14575205354327259</v>
      </c>
      <c r="K27" s="67">
        <v>17</v>
      </c>
      <c r="L27" s="68">
        <v>3.302523093786227E-2</v>
      </c>
      <c r="M27" s="68">
        <v>4.4531481246448928E-2</v>
      </c>
      <c r="N27" s="68">
        <v>5.905213931382549E-2</v>
      </c>
      <c r="O27" s="68">
        <f t="shared" si="2"/>
        <v>3.6520817173380356E-2</v>
      </c>
    </row>
    <row r="28" spans="1:15" x14ac:dyDescent="0.2">
      <c r="A28" s="67">
        <v>18</v>
      </c>
      <c r="B28" s="68">
        <v>4.9817618983740977E-3</v>
      </c>
      <c r="C28" s="68">
        <v>9.3222800040558135E-3</v>
      </c>
      <c r="D28" s="68">
        <v>1.262656046581088E-2</v>
      </c>
      <c r="E28" s="68">
        <f t="shared" si="0"/>
        <v>1.1107800033041923E-2</v>
      </c>
      <c r="F28" s="67">
        <v>18</v>
      </c>
      <c r="G28" s="68">
        <v>0.10016557386895519</v>
      </c>
      <c r="H28" s="68">
        <v>0.13495643842442581</v>
      </c>
      <c r="I28" s="68">
        <v>0.1694164081376954</v>
      </c>
      <c r="J28" s="68">
        <f t="shared" si="1"/>
        <v>0.14926804454541429</v>
      </c>
      <c r="K28" s="67">
        <v>18</v>
      </c>
      <c r="L28" s="68">
        <v>3.56232691970194E-2</v>
      </c>
      <c r="M28" s="68">
        <v>4.3801356462762488E-2</v>
      </c>
      <c r="N28" s="68">
        <v>5.905916831786763E-2</v>
      </c>
      <c r="O28" s="68">
        <f>($B$5*L28+M28)/($B$5+1)</f>
        <v>3.8107763147030529E-2</v>
      </c>
    </row>
    <row r="29" spans="1:15" x14ac:dyDescent="0.2">
      <c r="A29" s="67">
        <v>19</v>
      </c>
      <c r="B29" s="68">
        <v>4.6011061669820061E-3</v>
      </c>
      <c r="C29" s="68">
        <v>9.6404538274781557E-3</v>
      </c>
      <c r="D29" s="68">
        <v>1.3290422066170079E-2</v>
      </c>
      <c r="E29" s="68">
        <f t="shared" si="0"/>
        <v>1.1713445106805392E-2</v>
      </c>
      <c r="F29" s="67">
        <v>19</v>
      </c>
      <c r="G29" s="68">
        <v>9.5556869502577385E-2</v>
      </c>
      <c r="H29" s="68">
        <v>0.12885722900385699</v>
      </c>
      <c r="I29" s="68">
        <v>0.17704224870873869</v>
      </c>
      <c r="J29" s="68">
        <f t="shared" si="1"/>
        <v>0.14255569942012869</v>
      </c>
      <c r="K29" s="67">
        <v>19</v>
      </c>
      <c r="L29" s="68">
        <v>3.4037067778074123E-2</v>
      </c>
      <c r="M29" s="68">
        <v>4.2889739711888857E-2</v>
      </c>
      <c r="N29" s="68">
        <v>6.124485547815392E-2</v>
      </c>
      <c r="O29" s="68">
        <f t="shared" si="2"/>
        <v>3.672649981105422E-2</v>
      </c>
    </row>
    <row r="30" spans="1:15" x14ac:dyDescent="0.2">
      <c r="A30" s="67">
        <v>20</v>
      </c>
      <c r="B30" s="68">
        <v>5.2521351495945744E-3</v>
      </c>
      <c r="C30" s="68">
        <v>8.2894291478021777E-3</v>
      </c>
      <c r="D30" s="68">
        <v>1.4215393565815341E-2</v>
      </c>
      <c r="E30" s="68">
        <f t="shared" si="0"/>
        <v>9.5388535565196775E-3</v>
      </c>
      <c r="F30" s="67">
        <v>20</v>
      </c>
      <c r="G30" s="68">
        <v>0.10040263525258999</v>
      </c>
      <c r="H30" s="68">
        <v>0.1314120127003407</v>
      </c>
      <c r="I30" s="68">
        <v>0.1728117915182201</v>
      </c>
      <c r="J30" s="68">
        <f t="shared" si="1"/>
        <v>0.1441680623633689</v>
      </c>
      <c r="K30" s="67">
        <v>20</v>
      </c>
      <c r="L30" s="68">
        <v>3.6080928375070757E-2</v>
      </c>
      <c r="M30" s="68">
        <v>4.4916673761942527E-2</v>
      </c>
      <c r="N30" s="68">
        <v>6.2837133125275668E-2</v>
      </c>
      <c r="O30" s="68">
        <f t="shared" si="2"/>
        <v>3.876521814163722E-2</v>
      </c>
    </row>
    <row r="31" spans="1:15" x14ac:dyDescent="0.2">
      <c r="A31" s="67">
        <v>21</v>
      </c>
      <c r="B31" s="68">
        <v>4.7703823230064168E-3</v>
      </c>
      <c r="C31" s="68">
        <v>7.6479357293429036E-3</v>
      </c>
      <c r="D31" s="68">
        <v>1.20586934980317E-2</v>
      </c>
      <c r="E31" s="68">
        <f t="shared" si="0"/>
        <v>8.8316490825404124E-3</v>
      </c>
      <c r="F31" s="67">
        <v>21</v>
      </c>
      <c r="G31" s="68">
        <v>9.9892160475270719E-2</v>
      </c>
      <c r="H31" s="68">
        <v>0.13484226373619551</v>
      </c>
      <c r="I31" s="68">
        <v>0.17143692194051291</v>
      </c>
      <c r="J31" s="68">
        <f t="shared" si="1"/>
        <v>0.14921937445618708</v>
      </c>
      <c r="K31" s="67">
        <v>21</v>
      </c>
      <c r="L31" s="68">
        <v>3.4593318276450007E-2</v>
      </c>
      <c r="M31" s="68">
        <v>4.788272466150334E-2</v>
      </c>
      <c r="N31" s="68">
        <v>6.3516123977497022E-2</v>
      </c>
      <c r="O31" s="68">
        <f t="shared" si="2"/>
        <v>3.8630625374065607E-2</v>
      </c>
    </row>
    <row r="32" spans="1:15" x14ac:dyDescent="0.2">
      <c r="A32" s="67">
        <v>22</v>
      </c>
      <c r="B32" s="68">
        <v>4.4499835912147241E-3</v>
      </c>
      <c r="C32" s="68">
        <v>8.3338241597130693E-3</v>
      </c>
      <c r="D32" s="68">
        <v>1.259999067234518E-2</v>
      </c>
      <c r="E32" s="68">
        <f t="shared" si="0"/>
        <v>9.9314848434377025E-3</v>
      </c>
      <c r="F32" s="67">
        <v>22</v>
      </c>
      <c r="G32" s="68">
        <v>0.106672470841203</v>
      </c>
      <c r="H32" s="68">
        <v>0.13203008083878989</v>
      </c>
      <c r="I32" s="68">
        <v>0.17302349356403979</v>
      </c>
      <c r="J32" s="68">
        <f t="shared" si="1"/>
        <v>0.14246121358274577</v>
      </c>
      <c r="K32" s="67">
        <v>22</v>
      </c>
      <c r="L32" s="68">
        <v>3.7747844365082023E-2</v>
      </c>
      <c r="M32" s="68">
        <v>4.9580132466615363E-2</v>
      </c>
      <c r="N32" s="68">
        <v>5.7992193210781251E-2</v>
      </c>
      <c r="O32" s="68">
        <f t="shared" si="2"/>
        <v>4.1342480524834122E-2</v>
      </c>
    </row>
    <row r="33" spans="1:26" x14ac:dyDescent="0.2">
      <c r="A33" s="67">
        <v>23</v>
      </c>
      <c r="B33" s="68">
        <v>4.3646805354279183E-3</v>
      </c>
      <c r="C33" s="68">
        <v>6.9352479531848846E-3</v>
      </c>
      <c r="D33" s="68">
        <v>1.2282213592993189E-2</v>
      </c>
      <c r="E33" s="68">
        <f t="shared" si="0"/>
        <v>7.992679231781822E-3</v>
      </c>
      <c r="F33" s="67">
        <v>23</v>
      </c>
      <c r="G33" s="68">
        <v>0.1052356632155553</v>
      </c>
      <c r="H33" s="68">
        <v>0.1357140042758109</v>
      </c>
      <c r="I33" s="68">
        <v>0.17989116187027041</v>
      </c>
      <c r="J33" s="68">
        <f t="shared" si="1"/>
        <v>0.14825160625980471</v>
      </c>
      <c r="K33" s="67">
        <v>23</v>
      </c>
      <c r="L33" s="68">
        <v>3.8712447280704707E-2</v>
      </c>
      <c r="M33" s="68">
        <v>4.5823561240977889E-2</v>
      </c>
      <c r="N33" s="68">
        <v>6.2664085544472781E-2</v>
      </c>
      <c r="O33" s="68">
        <f t="shared" si="2"/>
        <v>4.0872795909673895E-2</v>
      </c>
    </row>
    <row r="34" spans="1:26" x14ac:dyDescent="0.2">
      <c r="A34" s="67">
        <v>24</v>
      </c>
      <c r="B34" s="68">
        <v>3.3576363636805382E-3</v>
      </c>
      <c r="C34" s="68">
        <v>8.2351877783135609E-3</v>
      </c>
      <c r="D34" s="68">
        <v>1.3016933737954321E-2</v>
      </c>
      <c r="E34" s="68">
        <f t="shared" si="0"/>
        <v>1.0241622386162981E-2</v>
      </c>
      <c r="F34" s="67">
        <v>24</v>
      </c>
      <c r="G34" s="69">
        <v>0.10636801832813821</v>
      </c>
      <c r="H34" s="69">
        <v>0.13583622262026071</v>
      </c>
      <c r="I34" s="69">
        <v>0.17517233979275529</v>
      </c>
      <c r="J34" s="68">
        <f t="shared" si="1"/>
        <v>0.14795829369582311</v>
      </c>
      <c r="K34" s="67">
        <v>24</v>
      </c>
      <c r="L34" s="68">
        <v>3.3876781214127787E-2</v>
      </c>
      <c r="M34" s="68">
        <v>4.6915094677477932E-2</v>
      </c>
      <c r="N34" s="68">
        <v>6.5415397165255212E-2</v>
      </c>
      <c r="O34" s="68">
        <f t="shared" si="2"/>
        <v>3.7837806557270627E-2</v>
      </c>
    </row>
    <row r="36" spans="1:26" x14ac:dyDescent="0.2">
      <c r="A36" t="s">
        <v>131</v>
      </c>
      <c r="B36" cm="1">
        <f t="array" ref="B36:Z36">TRANSPOSE(E10:E34)</f>
        <v>0</v>
      </c>
      <c r="C36">
        <v>0</v>
      </c>
      <c r="D36">
        <v>0</v>
      </c>
      <c r="E36">
        <v>0</v>
      </c>
      <c r="F36">
        <v>2.8507234748359356E-2</v>
      </c>
      <c r="G36">
        <v>5.6907265060781136E-3</v>
      </c>
      <c r="H36">
        <v>6.4512190673892151E-3</v>
      </c>
      <c r="I36">
        <v>7.4638214929653281E-3</v>
      </c>
      <c r="J36">
        <v>7.7030191454617323E-3</v>
      </c>
      <c r="K36">
        <v>8.2391197656047667E-3</v>
      </c>
      <c r="L36">
        <v>8.2228449209445671E-3</v>
      </c>
      <c r="M36">
        <v>8.5438383642059187E-3</v>
      </c>
      <c r="N36">
        <v>8.360910741114707E-3</v>
      </c>
      <c r="O36">
        <v>1.1131420267904289E-2</v>
      </c>
      <c r="P36">
        <v>1.093684629653973E-2</v>
      </c>
      <c r="Q36">
        <v>9.6343507244241126E-3</v>
      </c>
      <c r="R36">
        <v>1.2134462622366499E-2</v>
      </c>
      <c r="S36">
        <v>1.0678317987366211E-2</v>
      </c>
      <c r="T36">
        <v>1.1107800033041923E-2</v>
      </c>
      <c r="U36">
        <v>1.1713445106805392E-2</v>
      </c>
      <c r="V36">
        <v>9.5388535565196775E-3</v>
      </c>
      <c r="W36">
        <v>8.8316490825404124E-3</v>
      </c>
      <c r="X36">
        <v>9.9314848434377025E-3</v>
      </c>
      <c r="Y36">
        <v>7.992679231781822E-3</v>
      </c>
      <c r="Z36">
        <v>1.0241622386162981E-2</v>
      </c>
    </row>
    <row r="37" spans="1:26" x14ac:dyDescent="0.2">
      <c r="A37" t="s">
        <v>132</v>
      </c>
      <c r="B37" cm="1">
        <f t="array" ref="B37:Z37">TRANSPOSE(J10:J34)</f>
        <v>0</v>
      </c>
      <c r="C37">
        <v>8.3193832218489736E-2</v>
      </c>
      <c r="D37">
        <v>9.4782379866611324E-2</v>
      </c>
      <c r="E37">
        <v>0.10894996755850858</v>
      </c>
      <c r="F37">
        <v>9.5767947633309938E-2</v>
      </c>
      <c r="G37">
        <v>0.10089004818832749</v>
      </c>
      <c r="H37">
        <v>0.1041448519082095</v>
      </c>
      <c r="I37">
        <v>0.10797010997701258</v>
      </c>
      <c r="J37">
        <v>0.11264240199401522</v>
      </c>
      <c r="K37">
        <v>0.12279682740812374</v>
      </c>
      <c r="L37">
        <v>0.12532912137529367</v>
      </c>
      <c r="M37">
        <v>0.13130686268226954</v>
      </c>
      <c r="N37">
        <v>0.13635372144661975</v>
      </c>
      <c r="O37">
        <v>0.1363723282098786</v>
      </c>
      <c r="P37">
        <v>0.13535258112009541</v>
      </c>
      <c r="Q37">
        <v>0.14033498854853535</v>
      </c>
      <c r="R37">
        <v>0.13897343322770286</v>
      </c>
      <c r="S37">
        <v>0.14575205354327259</v>
      </c>
      <c r="T37">
        <v>0.14926804454541429</v>
      </c>
      <c r="U37">
        <v>0.14255569942012869</v>
      </c>
      <c r="V37">
        <v>0.1441680623633689</v>
      </c>
      <c r="W37">
        <v>0.14921937445618708</v>
      </c>
      <c r="X37">
        <v>0.14246121358274577</v>
      </c>
      <c r="Y37">
        <v>0.14825160625980471</v>
      </c>
      <c r="Z37">
        <v>0.14795829369582311</v>
      </c>
    </row>
    <row r="38" spans="1:26" x14ac:dyDescent="0.2">
      <c r="A38" t="s">
        <v>133</v>
      </c>
      <c r="B38" cm="1">
        <f t="array" ref="B38:Z38">TRANSPOSE(O10:O34)</f>
        <v>0</v>
      </c>
      <c r="C38">
        <v>4.0769430836692204E-2</v>
      </c>
      <c r="D38">
        <v>2.4795071746248169E-2</v>
      </c>
      <c r="E38">
        <v>2.3315377486950978E-2</v>
      </c>
      <c r="F38">
        <v>2.4597326397083612E-2</v>
      </c>
      <c r="G38">
        <v>2.4842885812214371E-2</v>
      </c>
      <c r="H38">
        <v>2.7676665197056877E-2</v>
      </c>
      <c r="I38">
        <v>2.7869409518703335E-2</v>
      </c>
      <c r="J38">
        <v>2.6643100882267016E-2</v>
      </c>
      <c r="K38">
        <v>2.8817016320343353E-2</v>
      </c>
      <c r="L38">
        <v>2.9096042190553235E-2</v>
      </c>
      <c r="M38">
        <v>2.9559623879052269E-2</v>
      </c>
      <c r="N38">
        <v>2.8262488826230343E-2</v>
      </c>
      <c r="O38">
        <v>2.7688723504485323E-2</v>
      </c>
      <c r="P38">
        <v>3.1118625127789165E-2</v>
      </c>
      <c r="Q38">
        <v>3.4143132159494577E-2</v>
      </c>
      <c r="R38">
        <v>3.3942444456573982E-2</v>
      </c>
      <c r="S38">
        <v>3.6520817173380356E-2</v>
      </c>
      <c r="T38">
        <v>3.8107763147030529E-2</v>
      </c>
      <c r="U38">
        <v>3.672649981105422E-2</v>
      </c>
      <c r="V38">
        <v>3.876521814163722E-2</v>
      </c>
      <c r="W38">
        <v>3.8630625374065607E-2</v>
      </c>
      <c r="X38">
        <v>4.1342480524834122E-2</v>
      </c>
      <c r="Y38">
        <v>4.0872795909673895E-2</v>
      </c>
      <c r="Z38">
        <v>3.7837806557270627E-2</v>
      </c>
    </row>
  </sheetData>
  <mergeCells count="6">
    <mergeCell ref="B6:D6"/>
    <mergeCell ref="G6:I6"/>
    <mergeCell ref="L6:N6"/>
    <mergeCell ref="B7:D7"/>
    <mergeCell ref="G7:I7"/>
    <mergeCell ref="L7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8"/>
  <sheetViews>
    <sheetView workbookViewId="0">
      <selection activeCell="A7" sqref="A1:XFD7"/>
    </sheetView>
  </sheetViews>
  <sheetFormatPr baseColWidth="10" defaultColWidth="8.83203125" defaultRowHeight="15" x14ac:dyDescent="0.2"/>
  <cols>
    <col min="1" max="1" width="15.5" customWidth="1"/>
  </cols>
  <sheetData>
    <row r="2" spans="1:6" x14ac:dyDescent="0.2">
      <c r="B2" s="7">
        <v>0.01</v>
      </c>
      <c r="C2" s="7">
        <v>-0.01</v>
      </c>
    </row>
    <row r="3" spans="1:6" x14ac:dyDescent="0.2">
      <c r="A3" t="s">
        <v>134</v>
      </c>
      <c r="B3">
        <v>2789.8083666476159</v>
      </c>
      <c r="C3">
        <v>-2777.4235899010964</v>
      </c>
    </row>
    <row r="4" spans="1:6" x14ac:dyDescent="0.2">
      <c r="A4" t="s">
        <v>19</v>
      </c>
      <c r="B4">
        <v>-2583.6217591579953</v>
      </c>
      <c r="C4">
        <v>2583.6217591580098</v>
      </c>
    </row>
    <row r="5" spans="1:6" x14ac:dyDescent="0.2">
      <c r="A5" t="s">
        <v>25</v>
      </c>
      <c r="B5">
        <v>-477.05987869899036</v>
      </c>
      <c r="C5">
        <v>477.05987869900855</v>
      </c>
    </row>
    <row r="6" spans="1:6" ht="16" x14ac:dyDescent="0.2">
      <c r="A6" s="11" t="s">
        <v>23</v>
      </c>
      <c r="B6">
        <v>-183.28737540375005</v>
      </c>
      <c r="C6">
        <v>186.37098866726228</v>
      </c>
    </row>
    <row r="7" spans="1:6" x14ac:dyDescent="0.2">
      <c r="A7" t="s">
        <v>21</v>
      </c>
      <c r="B7">
        <v>182.37431878904681</v>
      </c>
      <c r="C7">
        <v>-182.37431878903953</v>
      </c>
    </row>
    <row r="11" spans="1:6" x14ac:dyDescent="0.2">
      <c r="A11" s="8"/>
      <c r="B11" s="8"/>
      <c r="C11" s="64" t="s">
        <v>135</v>
      </c>
      <c r="D11" s="64" t="s">
        <v>136</v>
      </c>
    </row>
    <row r="12" spans="1:6" ht="16" x14ac:dyDescent="0.2">
      <c r="A12" s="11" t="s">
        <v>28</v>
      </c>
      <c r="B12" s="8">
        <v>-26827.70397338663</v>
      </c>
      <c r="C12" s="8">
        <v>-27868.661353725496</v>
      </c>
      <c r="D12" s="8">
        <v>-25786.746593047781</v>
      </c>
      <c r="E12">
        <f>C12-B12</f>
        <v>-1040.9573803388666</v>
      </c>
      <c r="F12">
        <f>D12-B12</f>
        <v>1040.9573803388485</v>
      </c>
    </row>
    <row r="13" spans="1:6" ht="16" x14ac:dyDescent="0.2">
      <c r="A13" s="11" t="s">
        <v>30</v>
      </c>
      <c r="B13" s="8">
        <v>-26827.70397338663</v>
      </c>
      <c r="C13" s="8">
        <v>-26965.624452187603</v>
      </c>
      <c r="D13" s="8">
        <v>-26689.78349458563</v>
      </c>
      <c r="E13">
        <f>C13-B13</f>
        <v>-137.9204788009738</v>
      </c>
      <c r="F13">
        <f>D13-B13</f>
        <v>137.92047880099926</v>
      </c>
    </row>
    <row r="16" spans="1:6" x14ac:dyDescent="0.2">
      <c r="B16" s="64" t="s">
        <v>135</v>
      </c>
      <c r="C16" s="64" t="s">
        <v>136</v>
      </c>
    </row>
    <row r="17" spans="1:3" x14ac:dyDescent="0.2">
      <c r="A17" t="s">
        <v>28</v>
      </c>
      <c r="B17">
        <v>-1040.9573803388666</v>
      </c>
      <c r="C17">
        <v>1040.9573803388485</v>
      </c>
    </row>
    <row r="18" spans="1:3" x14ac:dyDescent="0.2">
      <c r="A18" t="s">
        <v>30</v>
      </c>
      <c r="B18">
        <v>-137.9204788009738</v>
      </c>
      <c r="C18">
        <v>137.92047880099926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80</vt:i4>
      </vt:variant>
    </vt:vector>
  </HeadingPairs>
  <TitlesOfParts>
    <vt:vector size="84" baseType="lpstr">
      <vt:lpstr>ДЗ</vt:lpstr>
      <vt:lpstr>Calculation</vt:lpstr>
      <vt:lpstr>Rate&amp;Ratio</vt:lpstr>
      <vt:lpstr>Лист1</vt:lpstr>
      <vt:lpstr>accnt_act</vt:lpstr>
      <vt:lpstr>accnt_b_def</vt:lpstr>
      <vt:lpstr>accnt_b_res</vt:lpstr>
      <vt:lpstr>accnt_clo</vt:lpstr>
      <vt:lpstr>accnt_cur</vt:lpstr>
      <vt:lpstr>accnt_DEF</vt:lpstr>
      <vt:lpstr>accnt_dlq</vt:lpstr>
      <vt:lpstr>accnt_wro</vt:lpstr>
      <vt:lpstr>assets</vt:lpstr>
      <vt:lpstr>AT1_req</vt:lpstr>
      <vt:lpstr>Cash_flow_to_Client</vt:lpstr>
      <vt:lpstr>CFtB</vt:lpstr>
      <vt:lpstr>CFtC</vt:lpstr>
      <vt:lpstr>CFtCT</vt:lpstr>
      <vt:lpstr>CFtS</vt:lpstr>
      <vt:lpstr>CLO_Rate</vt:lpstr>
      <vt:lpstr>coeff_discount</vt:lpstr>
      <vt:lpstr>CoF</vt:lpstr>
      <vt:lpstr>collect_cost</vt:lpstr>
      <vt:lpstr>collection_cost</vt:lpstr>
      <vt:lpstr>Cost_of_AT1</vt:lpstr>
      <vt:lpstr>Cost_of_Funds</vt:lpstr>
      <vt:lpstr>cost_tax</vt:lpstr>
      <vt:lpstr>Cumulative_PV</vt:lpstr>
      <vt:lpstr>DEF_Rate</vt:lpstr>
      <vt:lpstr>discount_rate</vt:lpstr>
      <vt:lpstr>discount_rate_month</vt:lpstr>
      <vt:lpstr>DLNQ_Rate</vt:lpstr>
      <vt:lpstr>DLNQ_Ratio</vt:lpstr>
      <vt:lpstr>Eq_req</vt:lpstr>
      <vt:lpstr>Eq_req_chng</vt:lpstr>
      <vt:lpstr>Equity_Req</vt:lpstr>
      <vt:lpstr>flow_to_sharehold</vt:lpstr>
      <vt:lpstr>Fund_req</vt:lpstr>
      <vt:lpstr>Fund_req_chng</vt:lpstr>
      <vt:lpstr>GB_act</vt:lpstr>
      <vt:lpstr>GB_cur</vt:lpstr>
      <vt:lpstr>GB_DEF</vt:lpstr>
      <vt:lpstr>GB_dlq</vt:lpstr>
      <vt:lpstr>Gross_Expenses</vt:lpstr>
      <vt:lpstr>Gross_Loss</vt:lpstr>
      <vt:lpstr>Gross_profit</vt:lpstr>
      <vt:lpstr>Gross_Revenue</vt:lpstr>
      <vt:lpstr>initial_amount</vt:lpstr>
      <vt:lpstr>initial_term</vt:lpstr>
      <vt:lpstr>ins</vt:lpstr>
      <vt:lpstr>ins_ratio</vt:lpstr>
      <vt:lpstr>int_model</vt:lpstr>
      <vt:lpstr>interest</vt:lpstr>
      <vt:lpstr>interest_rate</vt:lpstr>
      <vt:lpstr>Loan_Loss</vt:lpstr>
      <vt:lpstr>Net_Income_Atax</vt:lpstr>
      <vt:lpstr>Net_Income_Bax</vt:lpstr>
      <vt:lpstr>Calculation!next</vt:lpstr>
      <vt:lpstr>oper_cost</vt:lpstr>
      <vt:lpstr>Operation_cost</vt:lpstr>
      <vt:lpstr>operational_cost</vt:lpstr>
      <vt:lpstr>overdue_fee</vt:lpstr>
      <vt:lpstr>PB</vt:lpstr>
      <vt:lpstr>PB_act</vt:lpstr>
      <vt:lpstr>PB_cur</vt:lpstr>
      <vt:lpstr>PB_def</vt:lpstr>
      <vt:lpstr>PB_dlq</vt:lpstr>
      <vt:lpstr>PB_model</vt:lpstr>
      <vt:lpstr>pclo</vt:lpstr>
      <vt:lpstr>pd</vt:lpstr>
      <vt:lpstr>Perp_Serv</vt:lpstr>
      <vt:lpstr>prev</vt:lpstr>
      <vt:lpstr>prev_</vt:lpstr>
      <vt:lpstr>PV</vt:lpstr>
      <vt:lpstr>px</vt:lpstr>
      <vt:lpstr>recov</vt:lpstr>
      <vt:lpstr>recovery</vt:lpstr>
      <vt:lpstr>regular_payment</vt:lpstr>
      <vt:lpstr>repayment</vt:lpstr>
      <vt:lpstr>shareholders</vt:lpstr>
      <vt:lpstr>statement_no</vt:lpstr>
      <vt:lpstr>Tax</vt:lpstr>
      <vt:lpstr>tax_rate</vt:lpstr>
      <vt:lpstr>to_bondholders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2022-09-25T16:11:50Z</dcterms:modified>
  <cp:category/>
  <cp:contentStatus/>
</cp:coreProperties>
</file>