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yeshai/Downloads/"/>
    </mc:Choice>
  </mc:AlternateContent>
  <xr:revisionPtr revIDLastSave="0" documentId="13_ncr:1_{0E9AF5EC-C729-C64B-871A-5C7D7986B21D}" xr6:coauthVersionLast="40" xr6:coauthVersionMax="40" xr10:uidLastSave="{00000000-0000-0000-0000-000000000000}"/>
  <bookViews>
    <workbookView xWindow="0" yWindow="460" windowWidth="28800" windowHeight="15920" xr2:uid="{00000000-000D-0000-FFFF-FFFF00000000}"/>
  </bookViews>
  <sheets>
    <sheet name="Sheet1" sheetId="1" r:id="rId1"/>
    <sheet name="SAC305 Calculator" sheetId="3" r:id="rId2"/>
    <sheet name="63_37 Calculator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I8" i="3"/>
  <c r="B9" i="3"/>
  <c r="M6" i="3"/>
  <c r="M8" i="3" s="1"/>
  <c r="J6" i="3"/>
  <c r="I6" i="3"/>
  <c r="H6" i="3"/>
  <c r="H8" i="3" s="1"/>
  <c r="E6" i="3"/>
  <c r="E8" i="3" s="1"/>
  <c r="D6" i="3"/>
  <c r="D8" i="3" s="1"/>
  <c r="C6" i="3"/>
  <c r="C8" i="3" s="1"/>
  <c r="P6" i="3"/>
  <c r="P8" i="3" s="1"/>
  <c r="A6" i="3"/>
  <c r="A7" i="3"/>
  <c r="A2" i="3"/>
  <c r="P7" i="3"/>
  <c r="M7" i="3"/>
  <c r="J7" i="3"/>
  <c r="E7" i="3"/>
  <c r="C2" i="3"/>
  <c r="M24" i="3"/>
  <c r="J24" i="3"/>
  <c r="I24" i="3"/>
  <c r="H24" i="3"/>
  <c r="E24" i="3"/>
  <c r="D24" i="3"/>
  <c r="C24" i="3"/>
  <c r="M23" i="3"/>
  <c r="J23" i="3"/>
  <c r="I23" i="3"/>
  <c r="H23" i="3"/>
  <c r="E23" i="3"/>
  <c r="D23" i="3"/>
  <c r="C23" i="3"/>
  <c r="M22" i="3"/>
  <c r="J22" i="3"/>
  <c r="I22" i="3"/>
  <c r="H22" i="3"/>
  <c r="E22" i="3"/>
  <c r="D22" i="3"/>
  <c r="C22" i="3"/>
  <c r="M21" i="3"/>
  <c r="J21" i="3"/>
  <c r="I21" i="3"/>
  <c r="H21" i="3"/>
  <c r="E21" i="3"/>
  <c r="D21" i="3"/>
  <c r="C21" i="3"/>
  <c r="M20" i="3"/>
  <c r="J20" i="3"/>
  <c r="I20" i="3"/>
  <c r="H20" i="3"/>
  <c r="E20" i="3"/>
  <c r="D20" i="3"/>
  <c r="C20" i="3"/>
  <c r="M19" i="3"/>
  <c r="J19" i="3"/>
  <c r="I19" i="3"/>
  <c r="H19" i="3"/>
  <c r="E19" i="3"/>
  <c r="D19" i="3"/>
  <c r="C19" i="3"/>
  <c r="M18" i="3"/>
  <c r="J18" i="3"/>
  <c r="I18" i="3"/>
  <c r="H18" i="3"/>
  <c r="E18" i="3"/>
  <c r="D18" i="3"/>
  <c r="C18" i="3"/>
  <c r="M17" i="3"/>
  <c r="J17" i="3"/>
  <c r="I17" i="3"/>
  <c r="H17" i="3"/>
  <c r="E17" i="3"/>
  <c r="D17" i="3"/>
  <c r="C17" i="3"/>
  <c r="M16" i="3"/>
  <c r="J16" i="3"/>
  <c r="I16" i="3"/>
  <c r="H16" i="3"/>
  <c r="E16" i="3"/>
  <c r="D16" i="3"/>
  <c r="C16" i="3"/>
  <c r="M15" i="3"/>
  <c r="J15" i="3"/>
  <c r="I15" i="3"/>
  <c r="H15" i="3"/>
  <c r="E15" i="3"/>
  <c r="D15" i="3"/>
  <c r="C15" i="3"/>
  <c r="P14" i="3"/>
  <c r="M13" i="3"/>
  <c r="J13" i="3"/>
  <c r="I13" i="3"/>
  <c r="H13" i="3"/>
  <c r="E13" i="3"/>
  <c r="D13" i="3"/>
  <c r="C13" i="3"/>
  <c r="M12" i="3"/>
  <c r="J12" i="3"/>
  <c r="I12" i="3"/>
  <c r="H12" i="3"/>
  <c r="E12" i="3"/>
  <c r="D12" i="3"/>
  <c r="C12" i="3"/>
  <c r="M11" i="3"/>
  <c r="J11" i="3"/>
  <c r="I11" i="3"/>
  <c r="H11" i="3"/>
  <c r="E11" i="3"/>
  <c r="D11" i="3"/>
  <c r="C11" i="3"/>
  <c r="M10" i="3"/>
  <c r="J10" i="3"/>
  <c r="I10" i="3"/>
  <c r="H10" i="3"/>
  <c r="E10" i="3"/>
  <c r="D10" i="3"/>
  <c r="C10" i="3"/>
  <c r="M9" i="3"/>
  <c r="J9" i="3"/>
  <c r="I9" i="3"/>
  <c r="H9" i="3"/>
  <c r="E9" i="3"/>
  <c r="D9" i="3"/>
  <c r="C9" i="3"/>
  <c r="M5" i="3"/>
  <c r="J5" i="3"/>
  <c r="I5" i="3"/>
  <c r="H5" i="3"/>
  <c r="E5" i="3"/>
  <c r="D5" i="3"/>
  <c r="C5" i="3"/>
  <c r="M4" i="3"/>
  <c r="J4" i="3"/>
  <c r="I4" i="3"/>
  <c r="H4" i="3"/>
  <c r="E4" i="3"/>
  <c r="D4" i="3"/>
  <c r="C4" i="3"/>
  <c r="M3" i="3"/>
  <c r="J3" i="3"/>
  <c r="I3" i="3"/>
  <c r="H3" i="3"/>
  <c r="E3" i="3"/>
  <c r="D3" i="3"/>
  <c r="C3" i="3"/>
  <c r="B3" i="3"/>
  <c r="P3" i="3" s="1"/>
  <c r="P2" i="3"/>
  <c r="F2" i="3" s="1"/>
  <c r="M2" i="3"/>
  <c r="J2" i="3"/>
  <c r="I2" i="3"/>
  <c r="H2" i="3"/>
  <c r="E2" i="3"/>
  <c r="D2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A24" i="3" s="1"/>
  <c r="B13" i="2"/>
  <c r="A12" i="2"/>
  <c r="P12" i="2"/>
  <c r="P2" i="2"/>
  <c r="P15" i="3" l="1"/>
  <c r="G15" i="3" s="1"/>
  <c r="P23" i="3"/>
  <c r="N23" i="3" s="1"/>
  <c r="P19" i="3"/>
  <c r="F19" i="3" s="1"/>
  <c r="L6" i="3"/>
  <c r="L8" i="3" s="1"/>
  <c r="N6" i="3"/>
  <c r="N8" i="3" s="1"/>
  <c r="F6" i="3"/>
  <c r="F8" i="3" s="1"/>
  <c r="O6" i="3"/>
  <c r="O8" i="3" s="1"/>
  <c r="K6" i="3"/>
  <c r="K8" i="3" s="1"/>
  <c r="G6" i="3"/>
  <c r="G8" i="3" s="1"/>
  <c r="P16" i="3"/>
  <c r="G16" i="3" s="1"/>
  <c r="P20" i="3"/>
  <c r="G20" i="3" s="1"/>
  <c r="P24" i="3"/>
  <c r="K23" i="3"/>
  <c r="O2" i="3"/>
  <c r="P17" i="3"/>
  <c r="L17" i="3" s="1"/>
  <c r="P21" i="3"/>
  <c r="L21" i="3" s="1"/>
  <c r="A3" i="3"/>
  <c r="A19" i="3"/>
  <c r="B4" i="3"/>
  <c r="P4" i="3" s="1"/>
  <c r="P18" i="3"/>
  <c r="N18" i="3" s="1"/>
  <c r="P22" i="3"/>
  <c r="N22" i="3" s="1"/>
  <c r="L23" i="3"/>
  <c r="K15" i="3"/>
  <c r="F18" i="3"/>
  <c r="K18" i="3"/>
  <c r="G24" i="3"/>
  <c r="K24" i="3"/>
  <c r="L3" i="3"/>
  <c r="O3" i="3"/>
  <c r="K3" i="3"/>
  <c r="G3" i="3"/>
  <c r="N3" i="3"/>
  <c r="F3" i="3"/>
  <c r="L2" i="3"/>
  <c r="N2" i="3"/>
  <c r="G2" i="3"/>
  <c r="K2" i="3"/>
  <c r="A15" i="3"/>
  <c r="A23" i="3"/>
  <c r="A16" i="3"/>
  <c r="A20" i="3"/>
  <c r="A17" i="3"/>
  <c r="A21" i="3"/>
  <c r="A18" i="3"/>
  <c r="A22" i="3"/>
  <c r="M22" i="2"/>
  <c r="J22" i="2"/>
  <c r="I22" i="2"/>
  <c r="H22" i="2"/>
  <c r="E22" i="2"/>
  <c r="D22" i="2"/>
  <c r="C22" i="2"/>
  <c r="M21" i="2"/>
  <c r="J21" i="2"/>
  <c r="I21" i="2"/>
  <c r="H21" i="2"/>
  <c r="E21" i="2"/>
  <c r="D21" i="2"/>
  <c r="C21" i="2"/>
  <c r="M20" i="2"/>
  <c r="J20" i="2"/>
  <c r="I20" i="2"/>
  <c r="H20" i="2"/>
  <c r="E20" i="2"/>
  <c r="D20" i="2"/>
  <c r="C20" i="2"/>
  <c r="M19" i="2"/>
  <c r="J19" i="2"/>
  <c r="I19" i="2"/>
  <c r="H19" i="2"/>
  <c r="E19" i="2"/>
  <c r="D19" i="2"/>
  <c r="C19" i="2"/>
  <c r="M18" i="2"/>
  <c r="J18" i="2"/>
  <c r="I18" i="2"/>
  <c r="H18" i="2"/>
  <c r="E18" i="2"/>
  <c r="D18" i="2"/>
  <c r="C18" i="2"/>
  <c r="M17" i="2"/>
  <c r="J17" i="2"/>
  <c r="I17" i="2"/>
  <c r="H17" i="2"/>
  <c r="E17" i="2"/>
  <c r="D17" i="2"/>
  <c r="C17" i="2"/>
  <c r="M16" i="2"/>
  <c r="J16" i="2"/>
  <c r="I16" i="2"/>
  <c r="H16" i="2"/>
  <c r="E16" i="2"/>
  <c r="D16" i="2"/>
  <c r="C16" i="2"/>
  <c r="M15" i="2"/>
  <c r="J15" i="2"/>
  <c r="I15" i="2"/>
  <c r="H15" i="2"/>
  <c r="E15" i="2"/>
  <c r="D15" i="2"/>
  <c r="C15" i="2"/>
  <c r="M14" i="2"/>
  <c r="J14" i="2"/>
  <c r="I14" i="2"/>
  <c r="H14" i="2"/>
  <c r="E14" i="2"/>
  <c r="D14" i="2"/>
  <c r="C14" i="2"/>
  <c r="M13" i="2"/>
  <c r="J13" i="2"/>
  <c r="I13" i="2"/>
  <c r="H13" i="2"/>
  <c r="E13" i="2"/>
  <c r="D13" i="2"/>
  <c r="C13" i="2"/>
  <c r="M11" i="2"/>
  <c r="J11" i="2"/>
  <c r="I11" i="2"/>
  <c r="H11" i="2"/>
  <c r="E11" i="2"/>
  <c r="D11" i="2"/>
  <c r="C11" i="2"/>
  <c r="M10" i="2"/>
  <c r="J10" i="2"/>
  <c r="I10" i="2"/>
  <c r="H10" i="2"/>
  <c r="E10" i="2"/>
  <c r="D10" i="2"/>
  <c r="C10" i="2"/>
  <c r="M9" i="2"/>
  <c r="J9" i="2"/>
  <c r="I9" i="2"/>
  <c r="H9" i="2"/>
  <c r="E9" i="2"/>
  <c r="D9" i="2"/>
  <c r="C9" i="2"/>
  <c r="M8" i="2"/>
  <c r="J8" i="2"/>
  <c r="I8" i="2"/>
  <c r="H8" i="2"/>
  <c r="E8" i="2"/>
  <c r="D8" i="2"/>
  <c r="C8" i="2"/>
  <c r="M7" i="2"/>
  <c r="J7" i="2"/>
  <c r="I7" i="2"/>
  <c r="H7" i="2"/>
  <c r="E7" i="2"/>
  <c r="D7" i="2"/>
  <c r="C7" i="2"/>
  <c r="M6" i="2"/>
  <c r="J6" i="2"/>
  <c r="I6" i="2"/>
  <c r="H6" i="2"/>
  <c r="E6" i="2"/>
  <c r="D6" i="2"/>
  <c r="C6" i="2"/>
  <c r="M5" i="2"/>
  <c r="J5" i="2"/>
  <c r="I5" i="2"/>
  <c r="H5" i="2"/>
  <c r="E5" i="2"/>
  <c r="D5" i="2"/>
  <c r="C5" i="2"/>
  <c r="M4" i="2"/>
  <c r="J4" i="2"/>
  <c r="I4" i="2"/>
  <c r="H4" i="2"/>
  <c r="E4" i="2"/>
  <c r="D4" i="2"/>
  <c r="C4" i="2"/>
  <c r="M3" i="2"/>
  <c r="J3" i="2"/>
  <c r="I3" i="2"/>
  <c r="H3" i="2"/>
  <c r="E3" i="2"/>
  <c r="D3" i="2"/>
  <c r="C3" i="2"/>
  <c r="I2" i="2"/>
  <c r="H2" i="2"/>
  <c r="M2" i="2"/>
  <c r="O2" i="2" s="1"/>
  <c r="J2" i="2"/>
  <c r="K2" i="2" s="1"/>
  <c r="E2" i="2"/>
  <c r="F2" i="2" s="1"/>
  <c r="D2" i="2"/>
  <c r="C2" i="2"/>
  <c r="B3" i="2"/>
  <c r="A14" i="3"/>
  <c r="A2" i="2"/>
  <c r="K9" i="1"/>
  <c r="J9" i="1"/>
  <c r="I9" i="1"/>
  <c r="H9" i="1"/>
  <c r="G9" i="1"/>
  <c r="F9" i="1"/>
  <c r="E9" i="1"/>
  <c r="D9" i="1"/>
  <c r="K7" i="1"/>
  <c r="J7" i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K4" i="1"/>
  <c r="J4" i="1"/>
  <c r="G4" i="1"/>
  <c r="F4" i="1"/>
  <c r="E4" i="1"/>
  <c r="D4" i="1"/>
  <c r="K3" i="1"/>
  <c r="J3" i="1"/>
  <c r="I3" i="1"/>
  <c r="I4" i="1" s="1"/>
  <c r="H3" i="1"/>
  <c r="H4" i="1" s="1"/>
  <c r="G3" i="1"/>
  <c r="F3" i="1"/>
  <c r="E3" i="1"/>
  <c r="D3" i="1"/>
  <c r="K2" i="1"/>
  <c r="J2" i="1"/>
  <c r="I2" i="1"/>
  <c r="H2" i="1"/>
  <c r="G2" i="1"/>
  <c r="F2" i="1"/>
  <c r="E2" i="1"/>
  <c r="D2" i="1"/>
  <c r="K16" i="3" l="1"/>
  <c r="L19" i="3"/>
  <c r="N19" i="3"/>
  <c r="O15" i="3"/>
  <c r="F15" i="3"/>
  <c r="K22" i="3"/>
  <c r="F23" i="3"/>
  <c r="N15" i="3"/>
  <c r="L15" i="3"/>
  <c r="G22" i="3"/>
  <c r="N20" i="3"/>
  <c r="F22" i="3"/>
  <c r="K20" i="3"/>
  <c r="F20" i="3"/>
  <c r="O19" i="3"/>
  <c r="G19" i="3"/>
  <c r="K19" i="3"/>
  <c r="O23" i="3"/>
  <c r="G23" i="3"/>
  <c r="K17" i="3"/>
  <c r="G17" i="3"/>
  <c r="N17" i="3"/>
  <c r="O17" i="3"/>
  <c r="F17" i="3"/>
  <c r="O24" i="3"/>
  <c r="L24" i="3"/>
  <c r="O16" i="3"/>
  <c r="L16" i="3"/>
  <c r="N24" i="3"/>
  <c r="N16" i="3"/>
  <c r="O18" i="3"/>
  <c r="L18" i="3"/>
  <c r="G18" i="3"/>
  <c r="F24" i="3"/>
  <c r="F16" i="3"/>
  <c r="O22" i="3"/>
  <c r="L22" i="3"/>
  <c r="B5" i="3"/>
  <c r="A4" i="3"/>
  <c r="K21" i="3"/>
  <c r="G21" i="3"/>
  <c r="O21" i="3"/>
  <c r="F21" i="3"/>
  <c r="N21" i="3"/>
  <c r="O20" i="3"/>
  <c r="L20" i="3"/>
  <c r="O4" i="3"/>
  <c r="L4" i="3"/>
  <c r="G4" i="3"/>
  <c r="N4" i="3"/>
  <c r="K4" i="3"/>
  <c r="F4" i="3"/>
  <c r="L2" i="2"/>
  <c r="N2" i="2"/>
  <c r="B4" i="2"/>
  <c r="P3" i="2"/>
  <c r="N3" i="2" s="1"/>
  <c r="A3" i="2"/>
  <c r="A5" i="3" l="1"/>
  <c r="P5" i="3"/>
  <c r="K3" i="2"/>
  <c r="O3" i="2"/>
  <c r="L3" i="2"/>
  <c r="G3" i="2"/>
  <c r="F3" i="2"/>
  <c r="B5" i="2"/>
  <c r="P4" i="2"/>
  <c r="N4" i="2" s="1"/>
  <c r="A4" i="2"/>
  <c r="F5" i="3" l="1"/>
  <c r="K5" i="3"/>
  <c r="O5" i="3"/>
  <c r="L5" i="3"/>
  <c r="N5" i="3"/>
  <c r="G5" i="3"/>
  <c r="F4" i="2"/>
  <c r="O4" i="2"/>
  <c r="L4" i="2"/>
  <c r="K4" i="2"/>
  <c r="G4" i="2"/>
  <c r="B6" i="2"/>
  <c r="P5" i="2"/>
  <c r="N5" i="2" s="1"/>
  <c r="A5" i="2"/>
  <c r="A9" i="3" l="1"/>
  <c r="P9" i="3"/>
  <c r="B10" i="3"/>
  <c r="F5" i="2"/>
  <c r="O5" i="2"/>
  <c r="L5" i="2"/>
  <c r="K5" i="2"/>
  <c r="G5" i="2"/>
  <c r="B7" i="2"/>
  <c r="P6" i="2"/>
  <c r="N6" i="2" s="1"/>
  <c r="A6" i="2"/>
  <c r="F9" i="3" l="1"/>
  <c r="N9" i="3"/>
  <c r="K9" i="3"/>
  <c r="L9" i="3"/>
  <c r="O9" i="3"/>
  <c r="G9" i="3"/>
  <c r="A10" i="3"/>
  <c r="B11" i="3"/>
  <c r="P10" i="3"/>
  <c r="F6" i="2"/>
  <c r="L6" i="2"/>
  <c r="K6" i="2"/>
  <c r="G6" i="2"/>
  <c r="O6" i="2"/>
  <c r="B8" i="2"/>
  <c r="P7" i="2"/>
  <c r="N7" i="2" s="1"/>
  <c r="A7" i="2"/>
  <c r="A11" i="3" l="1"/>
  <c r="P11" i="3"/>
  <c r="B12" i="3"/>
  <c r="G10" i="3"/>
  <c r="K10" i="3"/>
  <c r="N10" i="3"/>
  <c r="L10" i="3"/>
  <c r="F10" i="3"/>
  <c r="O10" i="3"/>
  <c r="F7" i="2"/>
  <c r="L7" i="2"/>
  <c r="G7" i="2"/>
  <c r="O7" i="2"/>
  <c r="K7" i="2"/>
  <c r="B9" i="2"/>
  <c r="P8" i="2"/>
  <c r="N8" i="2" s="1"/>
  <c r="A8" i="2"/>
  <c r="A12" i="3" l="1"/>
  <c r="P12" i="3"/>
  <c r="B13" i="3"/>
  <c r="O11" i="3"/>
  <c r="N11" i="3"/>
  <c r="K11" i="3"/>
  <c r="F11" i="3"/>
  <c r="G11" i="3"/>
  <c r="L11" i="3"/>
  <c r="F8" i="2"/>
  <c r="O8" i="2"/>
  <c r="L8" i="2"/>
  <c r="K8" i="2"/>
  <c r="G8" i="2"/>
  <c r="B10" i="2"/>
  <c r="P9" i="2"/>
  <c r="N9" i="2" s="1"/>
  <c r="A9" i="2"/>
  <c r="A13" i="3" l="1"/>
  <c r="P13" i="3"/>
  <c r="N12" i="3"/>
  <c r="F12" i="3"/>
  <c r="O12" i="3"/>
  <c r="K12" i="3"/>
  <c r="L12" i="3"/>
  <c r="G12" i="3"/>
  <c r="F9" i="2"/>
  <c r="O9" i="2"/>
  <c r="L9" i="2"/>
  <c r="K9" i="2"/>
  <c r="G9" i="2"/>
  <c r="B11" i="2"/>
  <c r="P10" i="2"/>
  <c r="N10" i="2" s="1"/>
  <c r="A10" i="2"/>
  <c r="G13" i="3" l="1"/>
  <c r="L13" i="3"/>
  <c r="N13" i="3"/>
  <c r="O13" i="3"/>
  <c r="F13" i="3"/>
  <c r="K13" i="3"/>
  <c r="F10" i="2"/>
  <c r="L10" i="2"/>
  <c r="K10" i="2"/>
  <c r="G10" i="2"/>
  <c r="O10" i="2"/>
  <c r="P11" i="2"/>
  <c r="N11" i="2" s="1"/>
  <c r="A11" i="2"/>
  <c r="F11" i="2" l="1"/>
  <c r="K11" i="2"/>
  <c r="O11" i="2"/>
  <c r="L11" i="2"/>
  <c r="G11" i="2"/>
  <c r="P13" i="2"/>
  <c r="N13" i="2" s="1"/>
  <c r="B14" i="2"/>
  <c r="A13" i="2"/>
  <c r="O13" i="2" l="1"/>
  <c r="L13" i="2"/>
  <c r="K13" i="2"/>
  <c r="G13" i="2"/>
  <c r="P14" i="2"/>
  <c r="N14" i="2" s="1"/>
  <c r="A14" i="2"/>
  <c r="B15" i="2"/>
  <c r="F13" i="2"/>
  <c r="O14" i="2" l="1"/>
  <c r="L14" i="2"/>
  <c r="K14" i="2"/>
  <c r="G14" i="2"/>
  <c r="P15" i="2"/>
  <c r="N15" i="2" s="1"/>
  <c r="A15" i="2"/>
  <c r="B16" i="2"/>
  <c r="F14" i="2"/>
  <c r="L15" i="2" l="1"/>
  <c r="K15" i="2"/>
  <c r="G15" i="2"/>
  <c r="O15" i="2"/>
  <c r="P16" i="2"/>
  <c r="N16" i="2" s="1"/>
  <c r="B17" i="2"/>
  <c r="A16" i="2"/>
  <c r="F15" i="2"/>
  <c r="G16" i="2" l="1"/>
  <c r="O16" i="2"/>
  <c r="L16" i="2"/>
  <c r="K16" i="2"/>
  <c r="P17" i="2"/>
  <c r="N17" i="2" s="1"/>
  <c r="A17" i="2"/>
  <c r="B18" i="2"/>
  <c r="F16" i="2"/>
  <c r="O17" i="2" l="1"/>
  <c r="L17" i="2"/>
  <c r="K17" i="2"/>
  <c r="G17" i="2"/>
  <c r="P18" i="2"/>
  <c r="N18" i="2" s="1"/>
  <c r="B19" i="2"/>
  <c r="A18" i="2"/>
  <c r="F17" i="2"/>
  <c r="O18" i="2" l="1"/>
  <c r="L18" i="2"/>
  <c r="K18" i="2"/>
  <c r="G18" i="2"/>
  <c r="P19" i="2"/>
  <c r="N19" i="2" s="1"/>
  <c r="B20" i="2"/>
  <c r="A19" i="2"/>
  <c r="F18" i="2"/>
  <c r="L19" i="2" l="1"/>
  <c r="K19" i="2"/>
  <c r="G19" i="2"/>
  <c r="O19" i="2"/>
  <c r="P20" i="2"/>
  <c r="N20" i="2" s="1"/>
  <c r="B21" i="2"/>
  <c r="A20" i="2"/>
  <c r="F19" i="2"/>
  <c r="K20" i="2" l="1"/>
  <c r="O20" i="2"/>
  <c r="L20" i="2"/>
  <c r="G20" i="2"/>
  <c r="P21" i="2"/>
  <c r="N21" i="2" s="1"/>
  <c r="B22" i="2"/>
  <c r="A21" i="2"/>
  <c r="F20" i="2"/>
  <c r="O21" i="2" l="1"/>
  <c r="L21" i="2"/>
  <c r="K21" i="2"/>
  <c r="G21" i="2"/>
  <c r="P22" i="2"/>
  <c r="N22" i="2" s="1"/>
  <c r="A22" i="2"/>
  <c r="F21" i="2"/>
  <c r="O22" i="2" l="1"/>
  <c r="L22" i="2"/>
  <c r="K22" i="2"/>
  <c r="G22" i="2"/>
  <c r="F22" i="2"/>
  <c r="G2" i="2" l="1"/>
</calcChain>
</file>

<file path=xl/sharedStrings.xml><?xml version="1.0" encoding="utf-8"?>
<sst xmlns="http://schemas.openxmlformats.org/spreadsheetml/2006/main" count="52" uniqueCount="22">
  <si>
    <t>ZTOUCH</t>
  </si>
  <si>
    <t>XSTART</t>
  </si>
  <si>
    <t>#FLUX_X</t>
  </si>
  <si>
    <t>#FLUX_Z</t>
  </si>
  <si>
    <t>#PREHEAT_X</t>
  </si>
  <si>
    <t>#PREHEAT_Z</t>
  </si>
  <si>
    <t>#SOLDER_X</t>
  </si>
  <si>
    <t>#SOLDER_Z</t>
  </si>
  <si>
    <t>#RINSE_X</t>
  </si>
  <si>
    <t>#RINSE_Z</t>
  </si>
  <si>
    <t>PROCESS</t>
  </si>
  <si>
    <t>SAC305 20x20</t>
  </si>
  <si>
    <t>63/37 20x20</t>
  </si>
  <si>
    <t>SAC305 14x14</t>
  </si>
  <si>
    <t>SAC305 28x28</t>
  </si>
  <si>
    <t>63/37 24.2 x 24.2</t>
  </si>
  <si>
    <t>SIZE</t>
  </si>
  <si>
    <t>FLUX_ANGLE</t>
  </si>
  <si>
    <t>SOLDER_ANGLE</t>
  </si>
  <si>
    <t>RINSE_ANGLE</t>
  </si>
  <si>
    <t>DELTA/2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</si>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</sst>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1" fillId="0" borderId="0" xfId="0" applyNumberFormat="1" applyFont="1"/>
    <xf numFmtId="2" fontId="0" fillId="3" borderId="0" xfId="0" applyNumberFormat="1" applyFill="1"/>
    <xf numFmtId="0" fontId="0" fillId="0" borderId="0" xfId="0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15.5" bestFit="1" customWidth="1"/>
    <col min="2" max="2" width="7.5" bestFit="1" customWidth="1"/>
    <col min="3" max="3" width="8.1640625" bestFit="1" customWidth="1"/>
    <col min="4" max="4" width="8.5" bestFit="1" customWidth="1"/>
    <col min="5" max="5" width="8.33203125" bestFit="1" customWidth="1"/>
    <col min="6" max="6" width="12" bestFit="1" customWidth="1"/>
    <col min="7" max="7" width="11.83203125" bestFit="1" customWidth="1"/>
    <col min="8" max="8" width="10.83203125" bestFit="1" customWidth="1"/>
    <col min="9" max="9" width="10.6640625" bestFit="1" customWidth="1"/>
    <col min="10" max="10" width="9.33203125" bestFit="1" customWidth="1"/>
  </cols>
  <sheetData>
    <row r="1" spans="1:11" x14ac:dyDescent="0.2">
      <c r="A1" s="1" t="s">
        <v>10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12</v>
      </c>
      <c r="B2">
        <v>46.5</v>
      </c>
      <c r="C2">
        <v>-54</v>
      </c>
      <c r="D2">
        <f>B2+648</f>
        <v>694.5</v>
      </c>
      <c r="E2">
        <f>C2-33</f>
        <v>-87</v>
      </c>
      <c r="F2">
        <f>B2+588.5</f>
        <v>635</v>
      </c>
      <c r="G2">
        <f>C2+2.1</f>
        <v>-51.9</v>
      </c>
      <c r="H2">
        <f>B2+1522</f>
        <v>1568.5</v>
      </c>
      <c r="I2">
        <f>C2+40.3</f>
        <v>-13.700000000000003</v>
      </c>
      <c r="J2">
        <f>B2+189.5</f>
        <v>236</v>
      </c>
      <c r="K2">
        <f>C2-34</f>
        <v>-88</v>
      </c>
    </row>
    <row r="3" spans="1:11" x14ac:dyDescent="0.2">
      <c r="A3" s="2" t="s">
        <v>11</v>
      </c>
      <c r="B3" s="2">
        <v>47.7</v>
      </c>
      <c r="C3" s="2">
        <v>-53.4</v>
      </c>
      <c r="D3" s="2">
        <f>B3+646.8</f>
        <v>694.5</v>
      </c>
      <c r="E3" s="2">
        <f>C3-32</f>
        <v>-85.4</v>
      </c>
      <c r="F3" s="2">
        <f>B3+587.3</f>
        <v>635</v>
      </c>
      <c r="G3" s="2">
        <f>C3+1.9</f>
        <v>-51.5</v>
      </c>
      <c r="H3" s="2">
        <f>B3+1817.92</f>
        <v>1865.6200000000001</v>
      </c>
      <c r="I3" s="2">
        <f>C3+19.52</f>
        <v>-33.879999999999995</v>
      </c>
      <c r="J3" s="2">
        <f>B3+374.3</f>
        <v>422</v>
      </c>
      <c r="K3" s="2">
        <f>C3-0.1</f>
        <v>-53.5</v>
      </c>
    </row>
    <row r="4" spans="1:11" x14ac:dyDescent="0.2">
      <c r="A4" s="3" t="s">
        <v>11</v>
      </c>
      <c r="B4" s="3">
        <v>46.5</v>
      </c>
      <c r="C4" s="3">
        <v>-54</v>
      </c>
      <c r="D4" s="3">
        <f>B4+648</f>
        <v>694.5</v>
      </c>
      <c r="E4" s="3">
        <f>C4-33</f>
        <v>-87</v>
      </c>
      <c r="F4" s="3">
        <f>B4+588.5</f>
        <v>635</v>
      </c>
      <c r="G4" s="3">
        <f>C4+2.1</f>
        <v>-51.9</v>
      </c>
      <c r="H4" s="3">
        <f>H3-($B3-$B4)</f>
        <v>1864.42</v>
      </c>
      <c r="I4" s="3">
        <f>I3-($C3-$C4)</f>
        <v>-34.479999999999997</v>
      </c>
      <c r="J4" s="3">
        <f>B4+189.5</f>
        <v>236</v>
      </c>
      <c r="K4" s="3">
        <f>C4-34</f>
        <v>-88</v>
      </c>
    </row>
    <row r="5" spans="1:11" x14ac:dyDescent="0.2">
      <c r="A5" s="2" t="s">
        <v>13</v>
      </c>
      <c r="B5" s="2">
        <v>46.5</v>
      </c>
      <c r="C5" s="2">
        <v>-53.3</v>
      </c>
      <c r="D5" s="2">
        <f>B5+646.5</f>
        <v>693</v>
      </c>
      <c r="E5" s="2">
        <f>C5-35.2</f>
        <v>-88.5</v>
      </c>
      <c r="F5" s="2">
        <f>B5+588.5</f>
        <v>635</v>
      </c>
      <c r="G5" s="2">
        <f>C5+1.8</f>
        <v>-51.5</v>
      </c>
      <c r="H5" s="2">
        <f>B5+1817</f>
        <v>1863.5</v>
      </c>
      <c r="I5" s="2">
        <f>C5+17</f>
        <v>-36.299999999999997</v>
      </c>
      <c r="J5" s="2">
        <f>B5+200.5</f>
        <v>247</v>
      </c>
      <c r="K5" s="2">
        <f>C5-37.7</f>
        <v>-91</v>
      </c>
    </row>
    <row r="6" spans="1:11" x14ac:dyDescent="0.2">
      <c r="A6" s="3" t="s">
        <v>13</v>
      </c>
      <c r="B6" s="3">
        <v>46.5</v>
      </c>
      <c r="C6" s="3">
        <v>-54</v>
      </c>
      <c r="D6" s="3">
        <f t="shared" ref="D6:F8" si="0">D5-($B5-$B6)</f>
        <v>693</v>
      </c>
      <c r="E6" s="3">
        <f t="shared" ref="E6:G8" si="1">E5-($C5-$C6)</f>
        <v>-89.2</v>
      </c>
      <c r="F6" s="3">
        <f t="shared" si="0"/>
        <v>635</v>
      </c>
      <c r="G6" s="3">
        <f t="shared" si="1"/>
        <v>-52.2</v>
      </c>
      <c r="H6" s="3">
        <f t="shared" ref="H6:H8" si="2">H5-($B5-$B6)</f>
        <v>1863.5</v>
      </c>
      <c r="I6" s="3">
        <f t="shared" ref="I6:I8" si="3">I5-($C5-$C6)</f>
        <v>-37</v>
      </c>
      <c r="J6" s="3">
        <f t="shared" ref="J6:J8" si="4">J5-($B5-$B6)</f>
        <v>247</v>
      </c>
      <c r="K6" s="3">
        <f t="shared" ref="K6:K8" si="5">K5-($C5-$C6)</f>
        <v>-91.7</v>
      </c>
    </row>
    <row r="7" spans="1:11" x14ac:dyDescent="0.2">
      <c r="A7" s="2" t="s">
        <v>14</v>
      </c>
      <c r="B7" s="2">
        <v>46.7</v>
      </c>
      <c r="C7" s="2">
        <v>-52.6</v>
      </c>
      <c r="D7" s="2">
        <f>B7+649.8</f>
        <v>696.5</v>
      </c>
      <c r="E7" s="2">
        <f>C7-31.4</f>
        <v>-84</v>
      </c>
      <c r="F7" s="2">
        <f>B7+588.3</f>
        <v>635</v>
      </c>
      <c r="G7" s="2">
        <f>C7+2.1</f>
        <v>-50.5</v>
      </c>
      <c r="H7" s="2">
        <f>B7+1820.3</f>
        <v>1867</v>
      </c>
      <c r="I7" s="2">
        <f>C7+2.1</f>
        <v>-50.5</v>
      </c>
      <c r="J7" s="2">
        <f>B7+375.3</f>
        <v>422</v>
      </c>
      <c r="K7" s="2">
        <f>C7+0.9</f>
        <v>-51.7</v>
      </c>
    </row>
    <row r="8" spans="1:11" x14ac:dyDescent="0.2">
      <c r="A8" s="3" t="s">
        <v>14</v>
      </c>
      <c r="B8" s="3">
        <v>46.5</v>
      </c>
      <c r="C8" s="3">
        <v>-54</v>
      </c>
      <c r="D8" s="3">
        <f t="shared" si="0"/>
        <v>696.3</v>
      </c>
      <c r="E8" s="3">
        <f t="shared" si="1"/>
        <v>-85.4</v>
      </c>
      <c r="F8" s="3">
        <f t="shared" si="0"/>
        <v>634.79999999999995</v>
      </c>
      <c r="G8" s="3">
        <f t="shared" si="1"/>
        <v>-51.9</v>
      </c>
      <c r="H8" s="3">
        <f t="shared" si="2"/>
        <v>1866.8</v>
      </c>
      <c r="I8" s="3">
        <f t="shared" si="3"/>
        <v>-51.9</v>
      </c>
      <c r="J8" s="3"/>
      <c r="K8" s="3"/>
    </row>
    <row r="9" spans="1:11" x14ac:dyDescent="0.2">
      <c r="A9" s="2" t="s">
        <v>15</v>
      </c>
      <c r="B9" s="2">
        <v>46.5</v>
      </c>
      <c r="C9" s="2">
        <v>-51.7</v>
      </c>
      <c r="D9" s="2">
        <f>B9+649.05</f>
        <v>695.55</v>
      </c>
      <c r="E9" s="2">
        <f>C9-32.5</f>
        <v>-84.2</v>
      </c>
      <c r="F9" s="2">
        <f>B9+588.5</f>
        <v>635</v>
      </c>
      <c r="G9" s="2">
        <f>C9+2.1</f>
        <v>-49.6</v>
      </c>
      <c r="H9" s="2">
        <f>B9+1522.49</f>
        <v>1568.99</v>
      </c>
      <c r="I9" s="2">
        <f>C9+41.79</f>
        <v>-9.9100000000000037</v>
      </c>
      <c r="J9" s="2">
        <f>B9+190.55</f>
        <v>237.05</v>
      </c>
      <c r="K9" s="2">
        <f>C9-32.18</f>
        <v>-83.88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zoomScale="123" zoomScaleNormal="123" workbookViewId="0">
      <pane ySplit="1" topLeftCell="A2" activePane="bottomLeft" state="frozen"/>
      <selection pane="bottomLeft" activeCell="P1" sqref="A1:P1"/>
    </sheetView>
  </sheetViews>
  <sheetFormatPr baseColWidth="10" defaultColWidth="8.83203125" defaultRowHeight="15" x14ac:dyDescent="0.2"/>
  <cols>
    <col min="1" max="1" width="12.33203125" bestFit="1" customWidth="1"/>
    <col min="2" max="2" width="5" bestFit="1" customWidth="1"/>
    <col min="3" max="3" width="6.83203125" bestFit="1" customWidth="1"/>
    <col min="4" max="4" width="7.33203125" bestFit="1" customWidth="1"/>
    <col min="5" max="5" width="11" bestFit="1" customWidth="1"/>
    <col min="6" max="6" width="12.1640625" bestFit="1" customWidth="1"/>
    <col min="7" max="7" width="7.5" bestFit="1" customWidth="1"/>
    <col min="8" max="8" width="10.6640625" bestFit="1" customWidth="1"/>
    <col min="9" max="9" width="10.5" bestFit="1" customWidth="1"/>
    <col min="10" max="10" width="13" bestFit="1" customWidth="1"/>
    <col min="11" max="11" width="9.6640625" bestFit="1" customWidth="1"/>
    <col min="12" max="12" width="9.5" bestFit="1" customWidth="1"/>
    <col min="13" max="13" width="11.5" bestFit="1" customWidth="1"/>
    <col min="14" max="14" width="8.1640625" bestFit="1" customWidth="1"/>
    <col min="15" max="15" width="8" bestFit="1" customWidth="1"/>
    <col min="16" max="16" width="7.83203125" bestFit="1" customWidth="1"/>
  </cols>
  <sheetData>
    <row r="1" spans="1:16" x14ac:dyDescent="0.2">
      <c r="A1" s="1" t="s">
        <v>10</v>
      </c>
      <c r="B1" s="1" t="s">
        <v>16</v>
      </c>
      <c r="C1" s="1" t="s">
        <v>1</v>
      </c>
      <c r="D1" s="1" t="s">
        <v>0</v>
      </c>
      <c r="E1" s="1" t="s">
        <v>17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18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20</v>
      </c>
    </row>
    <row r="2" spans="1:16" x14ac:dyDescent="0.2">
      <c r="A2" s="7" t="str">
        <f t="shared" ref="A2:A13" si="0">CONCATENATE("SAC305 ",B2,"x",B2)</f>
        <v>SAC305 10x10</v>
      </c>
      <c r="B2">
        <v>10</v>
      </c>
      <c r="C2" s="4">
        <f>$C$14</f>
        <v>46.5</v>
      </c>
      <c r="D2" s="4">
        <f>$D$14</f>
        <v>-54</v>
      </c>
      <c r="E2" s="4">
        <f>$E$14</f>
        <v>60</v>
      </c>
      <c r="F2" s="4">
        <f>P2*SIN(RADIANS(E2))+$F$14</f>
        <v>690.16987298107779</v>
      </c>
      <c r="G2" s="4">
        <f>P2*SIN(RADIANS(E2))+$G$14</f>
        <v>-91.330127018922198</v>
      </c>
      <c r="H2" s="4">
        <f>$H$14</f>
        <v>635</v>
      </c>
      <c r="I2" s="4">
        <f>$I$14</f>
        <v>-51.9</v>
      </c>
      <c r="J2" s="4">
        <f>$J$14</f>
        <v>45</v>
      </c>
      <c r="K2" s="4">
        <f>P2*SIN(RADIANS(J2))+$K$14</f>
        <v>1860.8844660940674</v>
      </c>
      <c r="L2" s="4">
        <f>P2*SIN(RADIANS(J2))+$L$14</f>
        <v>-38.015533905932735</v>
      </c>
      <c r="M2" s="4">
        <f>$M$14</f>
        <v>60</v>
      </c>
      <c r="N2" s="4">
        <f>P2*SIN(RADIANS(M2))+$N$14</f>
        <v>231.66987298107782</v>
      </c>
      <c r="O2" s="4">
        <f>P2*SIN(RADIANS(M2))+$O$14</f>
        <v>-92.330127018922198</v>
      </c>
      <c r="P2" s="4">
        <f>(B2-$B$14)/2</f>
        <v>-5</v>
      </c>
    </row>
    <row r="3" spans="1:16" x14ac:dyDescent="0.2">
      <c r="A3" s="7" t="str">
        <f t="shared" si="0"/>
        <v>SAC305 11x11</v>
      </c>
      <c r="B3">
        <f>B2+1</f>
        <v>11</v>
      </c>
      <c r="C3" s="4">
        <f>$C$14</f>
        <v>46.5</v>
      </c>
      <c r="D3" s="4">
        <f>$D$14</f>
        <v>-54</v>
      </c>
      <c r="E3" s="4">
        <f>$E$14</f>
        <v>60</v>
      </c>
      <c r="F3" s="4">
        <f>P3*SIN(RADIANS(E3))+$F$14</f>
        <v>690.60288568297005</v>
      </c>
      <c r="G3" s="4">
        <f>P3*SIN(RADIANS(E3))+$G$14</f>
        <v>-90.897114317029974</v>
      </c>
      <c r="H3" s="4">
        <f>$H$14</f>
        <v>635</v>
      </c>
      <c r="I3" s="4">
        <f>$I$14</f>
        <v>-51.9</v>
      </c>
      <c r="J3" s="4">
        <f>$J$14</f>
        <v>45</v>
      </c>
      <c r="K3" s="4">
        <f>P3*SIN(RADIANS(J3))+$K$14</f>
        <v>1861.2380194846605</v>
      </c>
      <c r="L3" s="4">
        <f>P3*SIN(RADIANS(J3))+$L$14</f>
        <v>-37.661980515339458</v>
      </c>
      <c r="M3" s="4">
        <f>$M$14</f>
        <v>60</v>
      </c>
      <c r="N3" s="4">
        <f>P3*SIN(RADIANS(M3))+$N$14</f>
        <v>232.10288568297003</v>
      </c>
      <c r="O3" s="4">
        <f>P3*SIN(RADIANS(M3))+$O$14</f>
        <v>-91.897114317029974</v>
      </c>
      <c r="P3" s="4">
        <f>(B3-$B$14)/2</f>
        <v>-4.5</v>
      </c>
    </row>
    <row r="4" spans="1:16" x14ac:dyDescent="0.2">
      <c r="A4" s="7" t="str">
        <f t="shared" si="0"/>
        <v>SAC305 12x12</v>
      </c>
      <c r="B4">
        <f t="shared" ref="B4:B13" si="1">B3+1</f>
        <v>12</v>
      </c>
      <c r="C4" s="4">
        <f>$C$14</f>
        <v>46.5</v>
      </c>
      <c r="D4" s="4">
        <f>$D$14</f>
        <v>-54</v>
      </c>
      <c r="E4" s="4">
        <f>$E$14</f>
        <v>60</v>
      </c>
      <c r="F4" s="4">
        <f>P4*SIN(RADIANS(E4))+$F$14</f>
        <v>691.03589838486221</v>
      </c>
      <c r="G4" s="4">
        <f>P4*SIN(RADIANS(E4))+$G$14</f>
        <v>-90.46410161513775</v>
      </c>
      <c r="H4" s="4">
        <f>$H$14</f>
        <v>635</v>
      </c>
      <c r="I4" s="4">
        <f>$I$14</f>
        <v>-51.9</v>
      </c>
      <c r="J4" s="4">
        <f>$J$14</f>
        <v>45</v>
      </c>
      <c r="K4" s="4">
        <f>P4*SIN(RADIANS(J4))+$K$14</f>
        <v>1861.5915728752539</v>
      </c>
      <c r="L4" s="4">
        <f>P4*SIN(RADIANS(J4))+$L$14</f>
        <v>-37.308427124746188</v>
      </c>
      <c r="M4" s="4">
        <f>$M$14</f>
        <v>60</v>
      </c>
      <c r="N4" s="4">
        <f>P4*SIN(RADIANS(M4))+$N$14</f>
        <v>232.53589838486224</v>
      </c>
      <c r="O4" s="4">
        <f>P4*SIN(RADIANS(M4))+$O$14</f>
        <v>-91.46410161513775</v>
      </c>
      <c r="P4" s="4">
        <f>(B4-$B$14)/2</f>
        <v>-4</v>
      </c>
    </row>
    <row r="5" spans="1:16" x14ac:dyDescent="0.2">
      <c r="A5" s="7" t="str">
        <f t="shared" si="0"/>
        <v>SAC305 13x13</v>
      </c>
      <c r="B5">
        <f t="shared" si="1"/>
        <v>13</v>
      </c>
      <c r="C5" s="4">
        <f>$C$14</f>
        <v>46.5</v>
      </c>
      <c r="D5" s="4">
        <f>$D$14</f>
        <v>-54</v>
      </c>
      <c r="E5" s="4">
        <f>$E$14</f>
        <v>60</v>
      </c>
      <c r="F5" s="4">
        <f>P5*SIN(RADIANS(E5))+$F$14</f>
        <v>691.46891108675447</v>
      </c>
      <c r="G5" s="4">
        <f>P5*SIN(RADIANS(E5))+$G$14</f>
        <v>-90.03108891324554</v>
      </c>
      <c r="H5" s="4">
        <f>$H$14</f>
        <v>635</v>
      </c>
      <c r="I5" s="4">
        <f>$I$14</f>
        <v>-51.9</v>
      </c>
      <c r="J5" s="4">
        <f>$J$14</f>
        <v>45</v>
      </c>
      <c r="K5" s="4">
        <f>P5*SIN(RADIANS(J5))+$K$14</f>
        <v>1861.9451262658472</v>
      </c>
      <c r="L5" s="4">
        <f>P5*SIN(RADIANS(J5))+$L$14</f>
        <v>-36.954873734152912</v>
      </c>
      <c r="M5" s="4">
        <f>$M$14</f>
        <v>60</v>
      </c>
      <c r="N5" s="4">
        <f>P5*SIN(RADIANS(M5))+$N$14</f>
        <v>232.96891108675447</v>
      </c>
      <c r="O5" s="4">
        <f>P5*SIN(RADIANS(M5))+$O$14</f>
        <v>-91.03108891324554</v>
      </c>
      <c r="P5" s="4">
        <f>(B5-$B$14)/2</f>
        <v>-3.5</v>
      </c>
    </row>
    <row r="6" spans="1:16" x14ac:dyDescent="0.2">
      <c r="A6" s="7" t="str">
        <f t="shared" si="0"/>
        <v>SAC305 14x14</v>
      </c>
      <c r="B6">
        <v>14</v>
      </c>
      <c r="C6" s="4">
        <f>$C$14</f>
        <v>46.5</v>
      </c>
      <c r="D6" s="4">
        <f>$D$14</f>
        <v>-54</v>
      </c>
      <c r="E6" s="4">
        <f>$E$14</f>
        <v>60</v>
      </c>
      <c r="F6" s="4">
        <f>P6*SIN(RADIANS(E6))+$F$14</f>
        <v>691.90192378864663</v>
      </c>
      <c r="G6" s="4">
        <f>P6*SIN(RADIANS(E6))+$G$14</f>
        <v>-89.598076211353316</v>
      </c>
      <c r="H6" s="4">
        <f>$H$14</f>
        <v>635</v>
      </c>
      <c r="I6" s="4">
        <f>$I$14</f>
        <v>-51.9</v>
      </c>
      <c r="J6" s="4">
        <f>$J$14</f>
        <v>45</v>
      </c>
      <c r="K6" s="4">
        <f>P6*SIN(RADIANS(J6))+$K$14</f>
        <v>1862.2986796564405</v>
      </c>
      <c r="L6" s="4">
        <f>P6*SIN(RADIANS(J6))+$L$14</f>
        <v>-36.601320343559642</v>
      </c>
      <c r="M6" s="4">
        <f>$M$14</f>
        <v>60</v>
      </c>
      <c r="N6" s="4">
        <f>P6*SIN(RADIANS(M6))+$N$14</f>
        <v>233.40192378864668</v>
      </c>
      <c r="O6" s="4">
        <f>P6*SIN(RADIANS(M6))+$O$14</f>
        <v>-90.598076211353316</v>
      </c>
      <c r="P6" s="4">
        <f>(B6-$B$14)/2</f>
        <v>-3</v>
      </c>
    </row>
    <row r="7" spans="1:16" x14ac:dyDescent="0.2">
      <c r="A7" s="8" t="str">
        <f t="shared" si="0"/>
        <v>SAC305 14x14</v>
      </c>
      <c r="B7" s="3">
        <v>14</v>
      </c>
      <c r="C7" s="6">
        <v>46.5</v>
      </c>
      <c r="D7" s="6">
        <v>-54</v>
      </c>
      <c r="E7" s="6">
        <f>$E$14</f>
        <v>60</v>
      </c>
      <c r="F7" s="6">
        <v>693</v>
      </c>
      <c r="G7" s="6">
        <v>-89.2</v>
      </c>
      <c r="H7" s="6">
        <v>635</v>
      </c>
      <c r="I7" s="6">
        <v>-52.2</v>
      </c>
      <c r="J7" s="6">
        <f>$J$14</f>
        <v>45</v>
      </c>
      <c r="K7" s="6">
        <v>1863.5</v>
      </c>
      <c r="L7" s="6">
        <v>-37</v>
      </c>
      <c r="M7" s="6">
        <f>$M$14</f>
        <v>60</v>
      </c>
      <c r="N7" s="6">
        <v>247</v>
      </c>
      <c r="O7" s="6">
        <v>-91.7</v>
      </c>
      <c r="P7" s="6">
        <f>(B7-$B$14)/2</f>
        <v>-3</v>
      </c>
    </row>
    <row r="8" spans="1:16" x14ac:dyDescent="0.2">
      <c r="A8" s="8" t="s">
        <v>21</v>
      </c>
      <c r="B8" s="3">
        <v>14</v>
      </c>
      <c r="C8" s="6">
        <f>C6-C7</f>
        <v>0</v>
      </c>
      <c r="D8" s="6">
        <f t="shared" ref="D8:P8" si="2">D6-D7</f>
        <v>0</v>
      </c>
      <c r="E8" s="6">
        <f t="shared" si="2"/>
        <v>0</v>
      </c>
      <c r="F8" s="6">
        <f t="shared" si="2"/>
        <v>-1.0980762113533729</v>
      </c>
      <c r="G8" s="6">
        <f t="shared" si="2"/>
        <v>-0.39807621135331317</v>
      </c>
      <c r="H8" s="6">
        <f t="shared" si="2"/>
        <v>0</v>
      </c>
      <c r="I8" s="6">
        <f t="shared" si="2"/>
        <v>0.30000000000000426</v>
      </c>
      <c r="J8" s="6">
        <f t="shared" si="2"/>
        <v>0</v>
      </c>
      <c r="K8" s="6">
        <f t="shared" si="2"/>
        <v>-1.2013203435594733</v>
      </c>
      <c r="L8" s="6">
        <f t="shared" si="2"/>
        <v>0.39867965644035763</v>
      </c>
      <c r="M8" s="6">
        <f t="shared" si="2"/>
        <v>0</v>
      </c>
      <c r="N8" s="6">
        <f t="shared" si="2"/>
        <v>-13.598076211353316</v>
      </c>
      <c r="O8" s="6">
        <f t="shared" si="2"/>
        <v>1.1019237886466868</v>
      </c>
      <c r="P8" s="6">
        <f t="shared" si="2"/>
        <v>0</v>
      </c>
    </row>
    <row r="9" spans="1:16" x14ac:dyDescent="0.2">
      <c r="A9" s="7" t="str">
        <f t="shared" si="0"/>
        <v>SAC305 15x15</v>
      </c>
      <c r="B9">
        <f>B7+1</f>
        <v>15</v>
      </c>
      <c r="C9" s="4">
        <f>$C$14</f>
        <v>46.5</v>
      </c>
      <c r="D9" s="4">
        <f>$D$14</f>
        <v>-54</v>
      </c>
      <c r="E9" s="4">
        <f>$E$14</f>
        <v>60</v>
      </c>
      <c r="F9" s="4">
        <f>P9*SIN(RADIANS(E9))+$F$14</f>
        <v>692.33493649053889</v>
      </c>
      <c r="G9" s="4">
        <f>P9*SIN(RADIANS(E9))+$G$14</f>
        <v>-89.165063509461092</v>
      </c>
      <c r="H9" s="4">
        <f>$H$14</f>
        <v>635</v>
      </c>
      <c r="I9" s="4">
        <f>$I$14</f>
        <v>-51.9</v>
      </c>
      <c r="J9" s="4">
        <f>$J$14</f>
        <v>45</v>
      </c>
      <c r="K9" s="4">
        <f>P9*SIN(RADIANS(J9))+$K$14</f>
        <v>1862.6522330470336</v>
      </c>
      <c r="L9" s="4">
        <f>P9*SIN(RADIANS(J9))+$L$14</f>
        <v>-36.247766952966366</v>
      </c>
      <c r="M9" s="4">
        <f>$M$14</f>
        <v>60</v>
      </c>
      <c r="N9" s="4">
        <f>P9*SIN(RADIANS(M9))+$N$14</f>
        <v>233.83493649053889</v>
      </c>
      <c r="O9" s="4">
        <f>P9*SIN(RADIANS(M9))+$O$14</f>
        <v>-90.165063509461092</v>
      </c>
      <c r="P9" s="4">
        <f>(B9-$B$14)/2</f>
        <v>-2.5</v>
      </c>
    </row>
    <row r="10" spans="1:16" x14ac:dyDescent="0.2">
      <c r="A10" s="7" t="str">
        <f t="shared" si="0"/>
        <v>SAC305 16x16</v>
      </c>
      <c r="B10">
        <f t="shared" si="1"/>
        <v>16</v>
      </c>
      <c r="C10" s="4">
        <f>$C$14</f>
        <v>46.5</v>
      </c>
      <c r="D10" s="4">
        <f>$D$14</f>
        <v>-54</v>
      </c>
      <c r="E10" s="4">
        <f>$E$14</f>
        <v>60</v>
      </c>
      <c r="F10" s="4">
        <f>P10*SIN(RADIANS(E10))+$F$14</f>
        <v>692.76794919243116</v>
      </c>
      <c r="G10" s="4">
        <f>P10*SIN(RADIANS(E10))+$G$14</f>
        <v>-88.732050807568882</v>
      </c>
      <c r="H10" s="4">
        <f>$H$14</f>
        <v>635</v>
      </c>
      <c r="I10" s="4">
        <f>$I$14</f>
        <v>-51.9</v>
      </c>
      <c r="J10" s="4">
        <f>$J$14</f>
        <v>45</v>
      </c>
      <c r="K10" s="4">
        <f>P10*SIN(RADIANS(J10))+$K$14</f>
        <v>1863.005786437627</v>
      </c>
      <c r="L10" s="4">
        <f>P10*SIN(RADIANS(J10))+$L$14</f>
        <v>-35.894213562373089</v>
      </c>
      <c r="M10" s="4">
        <f>$M$14</f>
        <v>60</v>
      </c>
      <c r="N10" s="4">
        <f>P10*SIN(RADIANS(M10))+$N$14</f>
        <v>234.26794919243113</v>
      </c>
      <c r="O10" s="4">
        <f>P10*SIN(RADIANS(M10))+$O$14</f>
        <v>-89.732050807568882</v>
      </c>
      <c r="P10" s="4">
        <f>(B10-$B$14)/2</f>
        <v>-2</v>
      </c>
    </row>
    <row r="11" spans="1:16" x14ac:dyDescent="0.2">
      <c r="A11" s="7" t="str">
        <f t="shared" si="0"/>
        <v>SAC305 17x17</v>
      </c>
      <c r="B11">
        <f t="shared" si="1"/>
        <v>17</v>
      </c>
      <c r="C11" s="4">
        <f>$C$14</f>
        <v>46.5</v>
      </c>
      <c r="D11" s="4">
        <f>$D$14</f>
        <v>-54</v>
      </c>
      <c r="E11" s="4">
        <f>$E$14</f>
        <v>60</v>
      </c>
      <c r="F11" s="4">
        <f>P11*SIN(RADIANS(E11))+$F$14</f>
        <v>693.20096189432331</v>
      </c>
      <c r="G11" s="4">
        <f>P11*SIN(RADIANS(E11))+$G$14</f>
        <v>-88.299038105676658</v>
      </c>
      <c r="H11" s="4">
        <f>$H$14</f>
        <v>635</v>
      </c>
      <c r="I11" s="4">
        <f>$I$14</f>
        <v>-51.9</v>
      </c>
      <c r="J11" s="4">
        <f>$J$14</f>
        <v>45</v>
      </c>
      <c r="K11" s="4">
        <f>P11*SIN(RADIANS(J11))+$K$14</f>
        <v>1863.3593398282203</v>
      </c>
      <c r="L11" s="4">
        <f>P11*SIN(RADIANS(J11))+$L$14</f>
        <v>-35.54066017177982</v>
      </c>
      <c r="M11" s="4">
        <f>$M$14</f>
        <v>60</v>
      </c>
      <c r="N11" s="4">
        <f>P11*SIN(RADIANS(M11))+$N$14</f>
        <v>234.70096189432334</v>
      </c>
      <c r="O11" s="4">
        <f>P11*SIN(RADIANS(M11))+$O$14</f>
        <v>-89.299038105676658</v>
      </c>
      <c r="P11" s="4">
        <f>(B11-$B$14)/2</f>
        <v>-1.5</v>
      </c>
    </row>
    <row r="12" spans="1:16" x14ac:dyDescent="0.2">
      <c r="A12" s="7" t="str">
        <f t="shared" si="0"/>
        <v>SAC305 18x18</v>
      </c>
      <c r="B12">
        <f t="shared" si="1"/>
        <v>18</v>
      </c>
      <c r="C12" s="4">
        <f>$C$14</f>
        <v>46.5</v>
      </c>
      <c r="D12" s="4">
        <f>$D$14</f>
        <v>-54</v>
      </c>
      <c r="E12" s="4">
        <f>$E$14</f>
        <v>60</v>
      </c>
      <c r="F12" s="4">
        <f>P12*SIN(RADIANS(E12))+$F$14</f>
        <v>693.63397459621558</v>
      </c>
      <c r="G12" s="4">
        <f>P12*SIN(RADIANS(E12))+$G$14</f>
        <v>-87.866025403784434</v>
      </c>
      <c r="H12" s="4">
        <f>$H$14</f>
        <v>635</v>
      </c>
      <c r="I12" s="4">
        <f>$I$14</f>
        <v>-51.9</v>
      </c>
      <c r="J12" s="4">
        <f>$J$14</f>
        <v>45</v>
      </c>
      <c r="K12" s="4">
        <f>P12*SIN(RADIANS(J12))+$K$14</f>
        <v>1863.7128932188136</v>
      </c>
      <c r="L12" s="4">
        <f>P12*SIN(RADIANS(J12))+$L$14</f>
        <v>-35.187106781186543</v>
      </c>
      <c r="M12" s="4">
        <f>$M$14</f>
        <v>60</v>
      </c>
      <c r="N12" s="4">
        <f>P12*SIN(RADIANS(M12))+$N$14</f>
        <v>235.13397459621555</v>
      </c>
      <c r="O12" s="4">
        <f>P12*SIN(RADIANS(M12))+$O$14</f>
        <v>-88.866025403784434</v>
      </c>
      <c r="P12" s="4">
        <f>(B12-$B$14)/2</f>
        <v>-1</v>
      </c>
    </row>
    <row r="13" spans="1:16" x14ac:dyDescent="0.2">
      <c r="A13" s="7" t="str">
        <f t="shared" si="0"/>
        <v>SAC305 19x19</v>
      </c>
      <c r="B13">
        <f t="shared" si="1"/>
        <v>19</v>
      </c>
      <c r="C13" s="4">
        <f>$C$14</f>
        <v>46.5</v>
      </c>
      <c r="D13" s="4">
        <f>$D$14</f>
        <v>-54</v>
      </c>
      <c r="E13" s="4">
        <f>$E$14</f>
        <v>60</v>
      </c>
      <c r="F13" s="4">
        <f>P13*SIN(RADIANS(E13))+$F$14</f>
        <v>694.06698729810773</v>
      </c>
      <c r="G13" s="4">
        <f>P13*SIN(RADIANS(E13))+$G$14</f>
        <v>-87.433012701892224</v>
      </c>
      <c r="H13" s="4">
        <f>$H$14</f>
        <v>635</v>
      </c>
      <c r="I13" s="4">
        <f>$I$14</f>
        <v>-51.9</v>
      </c>
      <c r="J13" s="4">
        <f>$J$14</f>
        <v>45</v>
      </c>
      <c r="K13" s="4">
        <f>P13*SIN(RADIANS(J13))+$K$14</f>
        <v>1864.0664466094067</v>
      </c>
      <c r="L13" s="4">
        <f>P13*SIN(RADIANS(J13))+$L$14</f>
        <v>-34.833553390593273</v>
      </c>
      <c r="M13" s="4">
        <f>$M$14</f>
        <v>60</v>
      </c>
      <c r="N13" s="4">
        <f>P13*SIN(RADIANS(M13))+$N$14</f>
        <v>235.56698729810779</v>
      </c>
      <c r="O13" s="4">
        <f>P13*SIN(RADIANS(M13))+$O$14</f>
        <v>-88.433012701892224</v>
      </c>
      <c r="P13" s="4">
        <f>(B13-$B$14)/2</f>
        <v>-0.5</v>
      </c>
    </row>
    <row r="14" spans="1:16" x14ac:dyDescent="0.2">
      <c r="A14" s="1" t="str">
        <f>CONCATENATE("SAC305 ",B14,"x",B14)</f>
        <v>SAC305 20x20</v>
      </c>
      <c r="B14" s="1">
        <v>20</v>
      </c>
      <c r="C14" s="5">
        <v>46.5</v>
      </c>
      <c r="D14" s="5">
        <v>-54</v>
      </c>
      <c r="E14" s="5">
        <v>60</v>
      </c>
      <c r="F14" s="5">
        <v>694.5</v>
      </c>
      <c r="G14" s="5">
        <v>-87</v>
      </c>
      <c r="H14" s="5">
        <v>635</v>
      </c>
      <c r="I14" s="5">
        <v>-51.9</v>
      </c>
      <c r="J14" s="5">
        <v>45</v>
      </c>
      <c r="K14" s="5">
        <v>1864.42</v>
      </c>
      <c r="L14" s="5">
        <v>-34.479999999999997</v>
      </c>
      <c r="M14" s="5">
        <v>60</v>
      </c>
      <c r="N14" s="5">
        <v>236</v>
      </c>
      <c r="O14" s="5">
        <v>-88</v>
      </c>
      <c r="P14" s="4">
        <f>(B14-$B$14)/2</f>
        <v>0</v>
      </c>
    </row>
    <row r="15" spans="1:16" x14ac:dyDescent="0.2">
      <c r="A15" t="str">
        <f>CONCATENATE("63/37 ",B15,"x",B15)</f>
        <v>63/37 21x21</v>
      </c>
      <c r="B15">
        <f>B14+1</f>
        <v>21</v>
      </c>
      <c r="C15" s="4">
        <f>$C$14</f>
        <v>46.5</v>
      </c>
      <c r="D15" s="4">
        <f>$D$14</f>
        <v>-54</v>
      </c>
      <c r="E15" s="4">
        <f>$E$14</f>
        <v>60</v>
      </c>
      <c r="F15" s="4">
        <f>P15*SIN(RADIANS(E15))+$F$14</f>
        <v>694.93301270189227</v>
      </c>
      <c r="G15" s="4">
        <f>P15*SIN(RADIANS(E15))+$G$14</f>
        <v>-86.566987298107776</v>
      </c>
      <c r="H15" s="4">
        <f>$H$14</f>
        <v>635</v>
      </c>
      <c r="I15" s="4">
        <f>$I$14</f>
        <v>-51.9</v>
      </c>
      <c r="J15" s="4">
        <f>$J$14</f>
        <v>45</v>
      </c>
      <c r="K15" s="4">
        <f>P15*SIN(RADIANS(J15))+$K$14</f>
        <v>1864.7735533905934</v>
      </c>
      <c r="L15" s="4">
        <f>P15*SIN(RADIANS(J15))+$L$14</f>
        <v>-34.12644660940672</v>
      </c>
      <c r="M15" s="4">
        <f>$M$14</f>
        <v>60</v>
      </c>
      <c r="N15" s="4">
        <f>P15*SIN(RADIANS(M15))+$N$14</f>
        <v>236.43301270189221</v>
      </c>
      <c r="O15" s="4">
        <f>P15*SIN(RADIANS(M15))+$O$14</f>
        <v>-87.566987298107776</v>
      </c>
      <c r="P15" s="4">
        <f>(B15-$B$14)/2</f>
        <v>0.5</v>
      </c>
    </row>
    <row r="16" spans="1:16" x14ac:dyDescent="0.2">
      <c r="A16" t="str">
        <f>CONCATENATE("63/37 ",B16,"x",B16)</f>
        <v>63/37 22x22</v>
      </c>
      <c r="B16">
        <f>B15+1</f>
        <v>22</v>
      </c>
      <c r="C16" s="4">
        <f>$C$14</f>
        <v>46.5</v>
      </c>
      <c r="D16" s="4">
        <f>$D$14</f>
        <v>-54</v>
      </c>
      <c r="E16" s="4">
        <f>$E$14</f>
        <v>60</v>
      </c>
      <c r="F16" s="4">
        <f>P16*SIN(RADIANS(E16))+$F$14</f>
        <v>695.36602540378442</v>
      </c>
      <c r="G16" s="4">
        <f t="shared" ref="G16:G24" si="3">P16*SIN(RADIANS(E16))+$G$14</f>
        <v>-86.133974596215566</v>
      </c>
      <c r="H16" s="4">
        <f>$H$14</f>
        <v>635</v>
      </c>
      <c r="I16" s="4">
        <f>$I$14</f>
        <v>-51.9</v>
      </c>
      <c r="J16" s="4">
        <f>$J$14</f>
        <v>45</v>
      </c>
      <c r="K16" s="4">
        <f t="shared" ref="K16:K24" si="4">P16*SIN(RADIANS(J16))+$K$14</f>
        <v>1865.1271067811865</v>
      </c>
      <c r="L16" s="4">
        <f t="shared" ref="L16:L24" si="5">P16*SIN(RADIANS(J16))+$L$14</f>
        <v>-33.772893218813451</v>
      </c>
      <c r="M16" s="4">
        <f>$M$14</f>
        <v>60</v>
      </c>
      <c r="N16" s="4">
        <f t="shared" ref="N16:N24" si="6">P16*SIN(RADIANS(M16))+$N$14</f>
        <v>236.86602540378445</v>
      </c>
      <c r="O16" s="4">
        <f t="shared" ref="O16:O24" si="7">P16*SIN(RADIANS(M16))+$O$14</f>
        <v>-87.133974596215566</v>
      </c>
      <c r="P16" s="4">
        <f>(B16-$B$14)/2</f>
        <v>1</v>
      </c>
    </row>
    <row r="17" spans="1:16" x14ac:dyDescent="0.2">
      <c r="A17" t="str">
        <f>CONCATENATE("63/37 ",B17,"x",B17)</f>
        <v>63/37 23x23</v>
      </c>
      <c r="B17">
        <f>B16+1</f>
        <v>23</v>
      </c>
      <c r="C17" s="4">
        <f>$C$14</f>
        <v>46.5</v>
      </c>
      <c r="D17" s="4">
        <f>$D$14</f>
        <v>-54</v>
      </c>
      <c r="E17" s="4">
        <f>$E$14</f>
        <v>60</v>
      </c>
      <c r="F17" s="4">
        <f>P17*SIN(RADIANS(E17))+$F$14</f>
        <v>695.79903810567669</v>
      </c>
      <c r="G17" s="4">
        <f t="shared" si="3"/>
        <v>-85.700961894323342</v>
      </c>
      <c r="H17" s="4">
        <f>$H$14</f>
        <v>635</v>
      </c>
      <c r="I17" s="4">
        <f>$I$14</f>
        <v>-51.9</v>
      </c>
      <c r="J17" s="4">
        <f>$J$14</f>
        <v>45</v>
      </c>
      <c r="K17" s="4">
        <f t="shared" si="4"/>
        <v>1865.4806601717798</v>
      </c>
      <c r="L17" s="4">
        <f t="shared" si="5"/>
        <v>-33.419339828220174</v>
      </c>
      <c r="M17" s="4">
        <f>$M$14</f>
        <v>60</v>
      </c>
      <c r="N17" s="4">
        <f t="shared" si="6"/>
        <v>237.29903810567666</v>
      </c>
      <c r="O17" s="4">
        <f t="shared" si="7"/>
        <v>-86.700961894323342</v>
      </c>
      <c r="P17" s="4">
        <f>(B17-$B$14)/2</f>
        <v>1.5</v>
      </c>
    </row>
    <row r="18" spans="1:16" x14ac:dyDescent="0.2">
      <c r="A18" t="str">
        <f>CONCATENATE("63/37 ",B18,"x",B18)</f>
        <v>63/37 24x24</v>
      </c>
      <c r="B18">
        <f>B17+1</f>
        <v>24</v>
      </c>
      <c r="C18" s="4">
        <f>$C$14</f>
        <v>46.5</v>
      </c>
      <c r="D18" s="4">
        <f>$D$14</f>
        <v>-54</v>
      </c>
      <c r="E18" s="4">
        <f>$E$14</f>
        <v>60</v>
      </c>
      <c r="F18" s="4">
        <f>P18*SIN(RADIANS(E18))+$F$14</f>
        <v>696.23205080756884</v>
      </c>
      <c r="G18" s="4">
        <f t="shared" si="3"/>
        <v>-85.267949192431118</v>
      </c>
      <c r="H18" s="4">
        <f>$H$14</f>
        <v>635</v>
      </c>
      <c r="I18" s="4">
        <f>$I$14</f>
        <v>-51.9</v>
      </c>
      <c r="J18" s="4">
        <f>$J$14</f>
        <v>45</v>
      </c>
      <c r="K18" s="4">
        <f t="shared" si="4"/>
        <v>1865.8342135623732</v>
      </c>
      <c r="L18" s="4">
        <f t="shared" si="5"/>
        <v>-33.065786437626905</v>
      </c>
      <c r="M18" s="4">
        <f>$M$14</f>
        <v>60</v>
      </c>
      <c r="N18" s="4">
        <f t="shared" si="6"/>
        <v>237.73205080756887</v>
      </c>
      <c r="O18" s="4">
        <f t="shared" si="7"/>
        <v>-86.267949192431118</v>
      </c>
      <c r="P18" s="4">
        <f>(B18-$B$14)/2</f>
        <v>2</v>
      </c>
    </row>
    <row r="19" spans="1:16" x14ac:dyDescent="0.2">
      <c r="A19" t="str">
        <f>CONCATENATE("63/37 ",B19,"x",B19)</f>
        <v>63/37 25x25</v>
      </c>
      <c r="B19">
        <f t="shared" ref="B19:B24" si="8">B18+1</f>
        <v>25</v>
      </c>
      <c r="C19" s="4">
        <f>$C$14</f>
        <v>46.5</v>
      </c>
      <c r="D19" s="4">
        <f>$D$14</f>
        <v>-54</v>
      </c>
      <c r="E19" s="4">
        <f>$E$14</f>
        <v>60</v>
      </c>
      <c r="F19" s="4">
        <f>P19*SIN(RADIANS(E19))+$F$14</f>
        <v>696.66506350946111</v>
      </c>
      <c r="G19" s="4">
        <f t="shared" si="3"/>
        <v>-84.834936490538908</v>
      </c>
      <c r="H19" s="4">
        <f>$H$14</f>
        <v>635</v>
      </c>
      <c r="I19" s="4">
        <f>$I$14</f>
        <v>-51.9</v>
      </c>
      <c r="J19" s="4">
        <f>$J$14</f>
        <v>45</v>
      </c>
      <c r="K19" s="4">
        <f t="shared" si="4"/>
        <v>1866.1877669529665</v>
      </c>
      <c r="L19" s="4">
        <f t="shared" si="5"/>
        <v>-32.712233047033628</v>
      </c>
      <c r="M19" s="4">
        <f>$M$14</f>
        <v>60</v>
      </c>
      <c r="N19" s="4">
        <f t="shared" si="6"/>
        <v>238.16506350946111</v>
      </c>
      <c r="O19" s="4">
        <f t="shared" si="7"/>
        <v>-85.834936490538908</v>
      </c>
      <c r="P19" s="4">
        <f>(B19-$B$14)/2</f>
        <v>2.5</v>
      </c>
    </row>
    <row r="20" spans="1:16" x14ac:dyDescent="0.2">
      <c r="A20" t="str">
        <f>CONCATENATE("63/37 ",B20,"x",B20)</f>
        <v>63/37 26x26</v>
      </c>
      <c r="B20">
        <f t="shared" si="8"/>
        <v>26</v>
      </c>
      <c r="C20" s="4">
        <f>$C$14</f>
        <v>46.5</v>
      </c>
      <c r="D20" s="4">
        <f>$D$14</f>
        <v>-54</v>
      </c>
      <c r="E20" s="4">
        <f>$E$14</f>
        <v>60</v>
      </c>
      <c r="F20" s="4">
        <f>P20*SIN(RADIANS(E20))+$F$14</f>
        <v>697.09807621135337</v>
      </c>
      <c r="G20" s="4">
        <f t="shared" si="3"/>
        <v>-84.401923788646684</v>
      </c>
      <c r="H20" s="4">
        <f>$H$14</f>
        <v>635</v>
      </c>
      <c r="I20" s="4">
        <f>$I$14</f>
        <v>-51.9</v>
      </c>
      <c r="J20" s="4">
        <f>$J$14</f>
        <v>45</v>
      </c>
      <c r="K20" s="4">
        <f t="shared" si="4"/>
        <v>1866.5413203435596</v>
      </c>
      <c r="L20" s="4">
        <f t="shared" si="5"/>
        <v>-32.358679656440351</v>
      </c>
      <c r="M20" s="4">
        <f>$M$14</f>
        <v>60</v>
      </c>
      <c r="N20" s="4">
        <f t="shared" si="6"/>
        <v>238.59807621135332</v>
      </c>
      <c r="O20" s="4">
        <f t="shared" si="7"/>
        <v>-85.401923788646684</v>
      </c>
      <c r="P20" s="4">
        <f>(B20-$B$14)/2</f>
        <v>3</v>
      </c>
    </row>
    <row r="21" spans="1:16" x14ac:dyDescent="0.2">
      <c r="A21" t="str">
        <f>CONCATENATE("63/37 ",B21,"x",B21)</f>
        <v>63/37 27x27</v>
      </c>
      <c r="B21">
        <f t="shared" si="8"/>
        <v>27</v>
      </c>
      <c r="C21" s="4">
        <f>$C$14</f>
        <v>46.5</v>
      </c>
      <c r="D21" s="4">
        <f>$D$14</f>
        <v>-54</v>
      </c>
      <c r="E21" s="4">
        <f>$E$14</f>
        <v>60</v>
      </c>
      <c r="F21" s="4">
        <f>P21*SIN(RADIANS(E21))+$F$14</f>
        <v>697.53108891324553</v>
      </c>
      <c r="G21" s="4">
        <f t="shared" si="3"/>
        <v>-83.96891108675446</v>
      </c>
      <c r="H21" s="4">
        <f>$H$14</f>
        <v>635</v>
      </c>
      <c r="I21" s="4">
        <f>$I$14</f>
        <v>-51.9</v>
      </c>
      <c r="J21" s="4">
        <f>$J$14</f>
        <v>45</v>
      </c>
      <c r="K21" s="4">
        <f t="shared" si="4"/>
        <v>1866.894873734153</v>
      </c>
      <c r="L21" s="4">
        <f t="shared" si="5"/>
        <v>-32.005126265847082</v>
      </c>
      <c r="M21" s="4">
        <f>$M$14</f>
        <v>60</v>
      </c>
      <c r="N21" s="4">
        <f t="shared" si="6"/>
        <v>239.03108891324553</v>
      </c>
      <c r="O21" s="4">
        <f t="shared" si="7"/>
        <v>-84.96891108675446</v>
      </c>
      <c r="P21" s="4">
        <f>(B21-$B$14)/2</f>
        <v>3.5</v>
      </c>
    </row>
    <row r="22" spans="1:16" x14ac:dyDescent="0.2">
      <c r="A22" t="str">
        <f>CONCATENATE("63/37 ",B22,"x",B22)</f>
        <v>63/37 28x28</v>
      </c>
      <c r="B22">
        <f t="shared" si="8"/>
        <v>28</v>
      </c>
      <c r="C22" s="4">
        <f>$C$14</f>
        <v>46.5</v>
      </c>
      <c r="D22" s="4">
        <f>$D$14</f>
        <v>-54</v>
      </c>
      <c r="E22" s="4">
        <f>$E$14</f>
        <v>60</v>
      </c>
      <c r="F22" s="4">
        <f>P22*SIN(RADIANS(E22))+$F$14</f>
        <v>697.96410161513779</v>
      </c>
      <c r="G22" s="4">
        <f t="shared" si="3"/>
        <v>-83.53589838486225</v>
      </c>
      <c r="H22" s="4">
        <f>$H$14</f>
        <v>635</v>
      </c>
      <c r="I22" s="4">
        <f>$I$14</f>
        <v>-51.9</v>
      </c>
      <c r="J22" s="4">
        <f>$J$14</f>
        <v>45</v>
      </c>
      <c r="K22" s="4">
        <f t="shared" si="4"/>
        <v>1867.2484271247463</v>
      </c>
      <c r="L22" s="4">
        <f t="shared" si="5"/>
        <v>-31.651572875253805</v>
      </c>
      <c r="M22" s="4">
        <f>$M$14</f>
        <v>60</v>
      </c>
      <c r="N22" s="4">
        <f t="shared" si="6"/>
        <v>239.46410161513776</v>
      </c>
      <c r="O22" s="4">
        <f t="shared" si="7"/>
        <v>-84.53589838486225</v>
      </c>
      <c r="P22" s="4">
        <f>(B22-$B$14)/2</f>
        <v>4</v>
      </c>
    </row>
    <row r="23" spans="1:16" x14ac:dyDescent="0.2">
      <c r="A23" t="str">
        <f>CONCATENATE("63/37 ",B23,"x",B23)</f>
        <v>63/37 29x29</v>
      </c>
      <c r="B23">
        <f>B22+1</f>
        <v>29</v>
      </c>
      <c r="C23" s="4">
        <f>$C$14</f>
        <v>46.5</v>
      </c>
      <c r="D23" s="4">
        <f>$D$14</f>
        <v>-54</v>
      </c>
      <c r="E23" s="4">
        <f>$E$14</f>
        <v>60</v>
      </c>
      <c r="F23" s="4">
        <f>P23*SIN(RADIANS(E23))+$F$14</f>
        <v>698.39711431702995</v>
      </c>
      <c r="G23" s="4">
        <f t="shared" si="3"/>
        <v>-83.102885682970026</v>
      </c>
      <c r="H23" s="4">
        <f>$H$14</f>
        <v>635</v>
      </c>
      <c r="I23" s="4">
        <f>$I$14</f>
        <v>-51.9</v>
      </c>
      <c r="J23" s="4">
        <f>$J$14</f>
        <v>45</v>
      </c>
      <c r="K23" s="4">
        <f t="shared" si="4"/>
        <v>1867.6019805153396</v>
      </c>
      <c r="L23" s="4">
        <f t="shared" si="5"/>
        <v>-31.298019484660532</v>
      </c>
      <c r="M23" s="4">
        <f>$M$14</f>
        <v>60</v>
      </c>
      <c r="N23" s="4">
        <f t="shared" si="6"/>
        <v>239.89711431702997</v>
      </c>
      <c r="O23" s="4">
        <f t="shared" si="7"/>
        <v>-84.102885682970026</v>
      </c>
      <c r="P23" s="4">
        <f>(B23-$B$14)/2</f>
        <v>4.5</v>
      </c>
    </row>
    <row r="24" spans="1:16" x14ac:dyDescent="0.2">
      <c r="A24" t="str">
        <f>CONCATENATE("63/37 ",B24,"x",B24)</f>
        <v>63/37 30x30</v>
      </c>
      <c r="B24">
        <f t="shared" si="8"/>
        <v>30</v>
      </c>
      <c r="C24" s="4">
        <f>$C$14</f>
        <v>46.5</v>
      </c>
      <c r="D24" s="4">
        <f>$D$14</f>
        <v>-54</v>
      </c>
      <c r="E24" s="4">
        <f>$E$14</f>
        <v>60</v>
      </c>
      <c r="F24" s="4">
        <f>P24*SIN(RADIANS(E24))+$F$14</f>
        <v>698.83012701892221</v>
      </c>
      <c r="G24" s="4">
        <f t="shared" si="3"/>
        <v>-82.669872981077802</v>
      </c>
      <c r="H24" s="4">
        <f>$H$14</f>
        <v>635</v>
      </c>
      <c r="I24" s="4">
        <f>$I$14</f>
        <v>-51.9</v>
      </c>
      <c r="J24" s="4">
        <f>$J$14</f>
        <v>45</v>
      </c>
      <c r="K24" s="4">
        <f t="shared" si="4"/>
        <v>1867.9555339059327</v>
      </c>
      <c r="L24" s="4">
        <f t="shared" si="5"/>
        <v>-30.944466094067259</v>
      </c>
      <c r="M24" s="4">
        <f>$M$14</f>
        <v>60</v>
      </c>
      <c r="N24" s="4">
        <f t="shared" si="6"/>
        <v>240.33012701892218</v>
      </c>
      <c r="O24" s="4">
        <f t="shared" si="7"/>
        <v>-83.669872981077802</v>
      </c>
      <c r="P24" s="4">
        <f>(B24-$B$14)/2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zoomScale="111" zoomScaleNormal="111" workbookViewId="0">
      <pane ySplit="1" topLeftCell="A2" activePane="bottomLeft" state="frozen"/>
      <selection pane="bottomLeft" activeCell="E26" sqref="E26"/>
    </sheetView>
  </sheetViews>
  <sheetFormatPr baseColWidth="10" defaultColWidth="8.83203125" defaultRowHeight="15" x14ac:dyDescent="0.2"/>
  <cols>
    <col min="1" max="1" width="12.83203125" bestFit="1" customWidth="1"/>
    <col min="2" max="2" width="12.83203125" customWidth="1"/>
    <col min="3" max="3" width="9.33203125" customWidth="1"/>
    <col min="4" max="4" width="8.33203125" bestFit="1" customWidth="1"/>
    <col min="5" max="5" width="12.5" bestFit="1" customWidth="1"/>
    <col min="6" max="7" width="8.5" bestFit="1" customWidth="1"/>
    <col min="8" max="8" width="12" bestFit="1" customWidth="1"/>
    <col min="9" max="9" width="11.83203125" bestFit="1" customWidth="1"/>
    <col min="10" max="10" width="14.83203125" bestFit="1" customWidth="1"/>
    <col min="11" max="11" width="10.83203125" bestFit="1" customWidth="1"/>
    <col min="12" max="12" width="10.6640625" bestFit="1" customWidth="1"/>
    <col min="13" max="13" width="13.33203125" bestFit="1" customWidth="1"/>
    <col min="14" max="14" width="9.33203125" bestFit="1" customWidth="1"/>
  </cols>
  <sheetData>
    <row r="1" spans="1:16" x14ac:dyDescent="0.2">
      <c r="A1" s="1" t="s">
        <v>10</v>
      </c>
      <c r="B1" s="1" t="s">
        <v>16</v>
      </c>
      <c r="C1" s="1" t="s">
        <v>1</v>
      </c>
      <c r="D1" s="1" t="s">
        <v>0</v>
      </c>
      <c r="E1" s="1" t="s">
        <v>17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18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20</v>
      </c>
    </row>
    <row r="2" spans="1:16" x14ac:dyDescent="0.2">
      <c r="A2" t="str">
        <f>CONCATENATE("63/37 ",B2,"x",B2)</f>
        <v>63/37 10x10</v>
      </c>
      <c r="B2">
        <v>10</v>
      </c>
      <c r="C2" s="4">
        <f>$C$12</f>
        <v>46.5</v>
      </c>
      <c r="D2" s="4">
        <f>$D$12</f>
        <v>-54</v>
      </c>
      <c r="E2" s="4">
        <f>$E$12</f>
        <v>60</v>
      </c>
      <c r="F2" s="4">
        <f>P2*SIN(RADIANS(E2))+$F$12</f>
        <v>690.16987298107779</v>
      </c>
      <c r="G2" s="4">
        <f>P2*SIN(RADIANS(E2))+$G$12</f>
        <v>-91.330127018922198</v>
      </c>
      <c r="H2" s="4">
        <f>$H$12</f>
        <v>635</v>
      </c>
      <c r="I2" s="4">
        <f>$I$12</f>
        <v>-51.9</v>
      </c>
      <c r="J2" s="4">
        <f>$J$12</f>
        <v>45</v>
      </c>
      <c r="K2" s="4">
        <f>P2*SIN(RADIANS(J2))+$K$12</f>
        <v>1564.9644660940673</v>
      </c>
      <c r="L2" s="4">
        <f>P2*SIN(RADIANS(J2))+$L$12</f>
        <v>-17.235533905932741</v>
      </c>
      <c r="M2" s="4">
        <f>$M$12</f>
        <v>60</v>
      </c>
      <c r="N2" s="4">
        <f>P2*SIN(RADIANS(M2))+$N$12</f>
        <v>231.66987298107782</v>
      </c>
      <c r="O2" s="4">
        <f>P2*SIN(RADIANS(M2))+$O$12</f>
        <v>-92.330127018922198</v>
      </c>
      <c r="P2" s="4">
        <f>(B2-$B$12)/2</f>
        <v>-5</v>
      </c>
    </row>
    <row r="3" spans="1:16" x14ac:dyDescent="0.2">
      <c r="A3" t="str">
        <f t="shared" ref="A3:A11" si="0">CONCATENATE("63/37 ",B3,"x",B3)</f>
        <v>63/37 11x11</v>
      </c>
      <c r="B3">
        <f>B2+1</f>
        <v>11</v>
      </c>
      <c r="C3" s="4">
        <f>$C$12</f>
        <v>46.5</v>
      </c>
      <c r="D3" s="4">
        <f>$D$12</f>
        <v>-54</v>
      </c>
      <c r="E3" s="4">
        <f>$E$12</f>
        <v>60</v>
      </c>
      <c r="F3" s="4">
        <f>P3*SIN(RADIANS(E3))+$F$12</f>
        <v>690.60288568297005</v>
      </c>
      <c r="G3" s="4">
        <f t="shared" ref="G3:G11" si="1">P3*SIN(RADIANS(E3))+$G$12</f>
        <v>-90.897114317029974</v>
      </c>
      <c r="H3" s="4">
        <f>$H$12</f>
        <v>635</v>
      </c>
      <c r="I3" s="4">
        <f>$I$12</f>
        <v>-51.9</v>
      </c>
      <c r="J3" s="4">
        <f>$J$12</f>
        <v>45</v>
      </c>
      <c r="K3" s="4">
        <f t="shared" ref="K3:K22" si="2">P3*SIN(RADIANS(J3))+$K$12</f>
        <v>1565.3180194846605</v>
      </c>
      <c r="L3" s="4">
        <f t="shared" ref="L3:L11" si="3">P3*SIN(RADIANS(J3))+$L$12</f>
        <v>-16.881980515339468</v>
      </c>
      <c r="M3" s="4">
        <f>$M$12</f>
        <v>60</v>
      </c>
      <c r="N3" s="4">
        <f t="shared" ref="N3:N11" si="4">P3*SIN(RADIANS(M3))+$N$12</f>
        <v>232.10288568297003</v>
      </c>
      <c r="O3" s="4">
        <f t="shared" ref="O3:O11" si="5">P3*SIN(RADIANS(M3))+$O$12</f>
        <v>-91.897114317029974</v>
      </c>
      <c r="P3" s="4">
        <f>(B3-$B$12)/2</f>
        <v>-4.5</v>
      </c>
    </row>
    <row r="4" spans="1:16" x14ac:dyDescent="0.2">
      <c r="A4" t="str">
        <f t="shared" si="0"/>
        <v>63/37 12x12</v>
      </c>
      <c r="B4">
        <f t="shared" ref="B4:B11" si="6">B3+1</f>
        <v>12</v>
      </c>
      <c r="C4" s="4">
        <f>$C$12</f>
        <v>46.5</v>
      </c>
      <c r="D4" s="4">
        <f>$D$12</f>
        <v>-54</v>
      </c>
      <c r="E4" s="4">
        <f>$E$12</f>
        <v>60</v>
      </c>
      <c r="F4" s="4">
        <f>P4*SIN(RADIANS(E4))+$F$12</f>
        <v>691.03589838486221</v>
      </c>
      <c r="G4" s="4">
        <f t="shared" si="1"/>
        <v>-90.46410161513775</v>
      </c>
      <c r="H4" s="4">
        <f>$H$12</f>
        <v>635</v>
      </c>
      <c r="I4" s="4">
        <f>$I$12</f>
        <v>-51.9</v>
      </c>
      <c r="J4" s="4">
        <f>$J$12</f>
        <v>45</v>
      </c>
      <c r="K4" s="4">
        <f t="shared" si="2"/>
        <v>1565.6715728752538</v>
      </c>
      <c r="L4" s="4">
        <f t="shared" si="3"/>
        <v>-16.528427124746194</v>
      </c>
      <c r="M4" s="4">
        <f>$M$12</f>
        <v>60</v>
      </c>
      <c r="N4" s="4">
        <f t="shared" si="4"/>
        <v>232.53589838486224</v>
      </c>
      <c r="O4" s="4">
        <f t="shared" si="5"/>
        <v>-91.46410161513775</v>
      </c>
      <c r="P4" s="4">
        <f>(B4-$B$12)/2</f>
        <v>-4</v>
      </c>
    </row>
    <row r="5" spans="1:16" x14ac:dyDescent="0.2">
      <c r="A5" t="str">
        <f t="shared" si="0"/>
        <v>63/37 13x13</v>
      </c>
      <c r="B5">
        <f t="shared" si="6"/>
        <v>13</v>
      </c>
      <c r="C5" s="4">
        <f>$C$12</f>
        <v>46.5</v>
      </c>
      <c r="D5" s="4">
        <f>$D$12</f>
        <v>-54</v>
      </c>
      <c r="E5" s="4">
        <f>$E$12</f>
        <v>60</v>
      </c>
      <c r="F5" s="4">
        <f>P5*SIN(RADIANS(E5))+$F$12</f>
        <v>691.46891108675447</v>
      </c>
      <c r="G5" s="4">
        <f t="shared" si="1"/>
        <v>-90.03108891324554</v>
      </c>
      <c r="H5" s="4">
        <f>$H$12</f>
        <v>635</v>
      </c>
      <c r="I5" s="4">
        <f>$I$12</f>
        <v>-51.9</v>
      </c>
      <c r="J5" s="4">
        <f>$J$12</f>
        <v>45</v>
      </c>
      <c r="K5" s="4">
        <f t="shared" si="2"/>
        <v>1566.0251262658471</v>
      </c>
      <c r="L5" s="4">
        <f t="shared" si="3"/>
        <v>-16.174873734152918</v>
      </c>
      <c r="M5" s="4">
        <f>$M$12</f>
        <v>60</v>
      </c>
      <c r="N5" s="4">
        <f t="shared" si="4"/>
        <v>232.96891108675447</v>
      </c>
      <c r="O5" s="4">
        <f t="shared" si="5"/>
        <v>-91.03108891324554</v>
      </c>
      <c r="P5" s="4">
        <f>(B5-$B$12)/2</f>
        <v>-3.5</v>
      </c>
    </row>
    <row r="6" spans="1:16" x14ac:dyDescent="0.2">
      <c r="A6" t="str">
        <f t="shared" si="0"/>
        <v>63/37 14x14</v>
      </c>
      <c r="B6">
        <f t="shared" si="6"/>
        <v>14</v>
      </c>
      <c r="C6" s="4">
        <f>$C$12</f>
        <v>46.5</v>
      </c>
      <c r="D6" s="4">
        <f>$D$12</f>
        <v>-54</v>
      </c>
      <c r="E6" s="4">
        <f>$E$12</f>
        <v>60</v>
      </c>
      <c r="F6" s="4">
        <f>P6*SIN(RADIANS(E6))+$F$12</f>
        <v>691.90192378864663</v>
      </c>
      <c r="G6" s="4">
        <f t="shared" si="1"/>
        <v>-89.598076211353316</v>
      </c>
      <c r="H6" s="4">
        <f>$H$12</f>
        <v>635</v>
      </c>
      <c r="I6" s="4">
        <f>$I$12</f>
        <v>-51.9</v>
      </c>
      <c r="J6" s="4">
        <f>$J$12</f>
        <v>45</v>
      </c>
      <c r="K6" s="4">
        <f t="shared" si="2"/>
        <v>1566.3786796564405</v>
      </c>
      <c r="L6" s="4">
        <f t="shared" si="3"/>
        <v>-15.821320343559645</v>
      </c>
      <c r="M6" s="4">
        <f>$M$12</f>
        <v>60</v>
      </c>
      <c r="N6" s="4">
        <f t="shared" si="4"/>
        <v>233.40192378864668</v>
      </c>
      <c r="O6" s="4">
        <f t="shared" si="5"/>
        <v>-90.598076211353316</v>
      </c>
      <c r="P6" s="4">
        <f>(B6-$B$12)/2</f>
        <v>-3</v>
      </c>
    </row>
    <row r="7" spans="1:16" x14ac:dyDescent="0.2">
      <c r="A7" t="str">
        <f t="shared" si="0"/>
        <v>63/37 15x15</v>
      </c>
      <c r="B7">
        <f t="shared" si="6"/>
        <v>15</v>
      </c>
      <c r="C7" s="4">
        <f>$C$12</f>
        <v>46.5</v>
      </c>
      <c r="D7" s="4">
        <f>$D$12</f>
        <v>-54</v>
      </c>
      <c r="E7" s="4">
        <f>$E$12</f>
        <v>60</v>
      </c>
      <c r="F7" s="4">
        <f>P7*SIN(RADIANS(E7))+$F$12</f>
        <v>692.33493649053889</v>
      </c>
      <c r="G7" s="4">
        <f t="shared" si="1"/>
        <v>-89.165063509461092</v>
      </c>
      <c r="H7" s="4">
        <f>$H$12</f>
        <v>635</v>
      </c>
      <c r="I7" s="4">
        <f>$I$12</f>
        <v>-51.9</v>
      </c>
      <c r="J7" s="4">
        <f>$J$12</f>
        <v>45</v>
      </c>
      <c r="K7" s="4">
        <f t="shared" si="2"/>
        <v>1566.7322330470336</v>
      </c>
      <c r="L7" s="4">
        <f t="shared" si="3"/>
        <v>-15.467766952966372</v>
      </c>
      <c r="M7" s="4">
        <f>$M$12</f>
        <v>60</v>
      </c>
      <c r="N7" s="4">
        <f t="shared" si="4"/>
        <v>233.83493649053889</v>
      </c>
      <c r="O7" s="4">
        <f t="shared" si="5"/>
        <v>-90.165063509461092</v>
      </c>
      <c r="P7" s="4">
        <f>(B7-$B$12)/2</f>
        <v>-2.5</v>
      </c>
    </row>
    <row r="8" spans="1:16" x14ac:dyDescent="0.2">
      <c r="A8" t="str">
        <f t="shared" si="0"/>
        <v>63/37 16x16</v>
      </c>
      <c r="B8">
        <f t="shared" si="6"/>
        <v>16</v>
      </c>
      <c r="C8" s="4">
        <f>$C$12</f>
        <v>46.5</v>
      </c>
      <c r="D8" s="4">
        <f>$D$12</f>
        <v>-54</v>
      </c>
      <c r="E8" s="4">
        <f>$E$12</f>
        <v>60</v>
      </c>
      <c r="F8" s="4">
        <f>P8*SIN(RADIANS(E8))+$F$12</f>
        <v>692.76794919243116</v>
      </c>
      <c r="G8" s="4">
        <f t="shared" si="1"/>
        <v>-88.732050807568882</v>
      </c>
      <c r="H8" s="4">
        <f>$H$12</f>
        <v>635</v>
      </c>
      <c r="I8" s="4">
        <f>$I$12</f>
        <v>-51.9</v>
      </c>
      <c r="J8" s="4">
        <f>$J$12</f>
        <v>45</v>
      </c>
      <c r="K8" s="4">
        <f t="shared" si="2"/>
        <v>1567.0857864376269</v>
      </c>
      <c r="L8" s="4">
        <f t="shared" si="3"/>
        <v>-15.114213562373099</v>
      </c>
      <c r="M8" s="4">
        <f>$M$12</f>
        <v>60</v>
      </c>
      <c r="N8" s="4">
        <f t="shared" si="4"/>
        <v>234.26794919243113</v>
      </c>
      <c r="O8" s="4">
        <f t="shared" si="5"/>
        <v>-89.732050807568882</v>
      </c>
      <c r="P8" s="4">
        <f>(B8-$B$12)/2</f>
        <v>-2</v>
      </c>
    </row>
    <row r="9" spans="1:16" x14ac:dyDescent="0.2">
      <c r="A9" t="str">
        <f t="shared" si="0"/>
        <v>63/37 17x17</v>
      </c>
      <c r="B9">
        <f t="shared" si="6"/>
        <v>17</v>
      </c>
      <c r="C9" s="4">
        <f>$C$12</f>
        <v>46.5</v>
      </c>
      <c r="D9" s="4">
        <f>$D$12</f>
        <v>-54</v>
      </c>
      <c r="E9" s="4">
        <f>$E$12</f>
        <v>60</v>
      </c>
      <c r="F9" s="4">
        <f>P9*SIN(RADIANS(E9))+$F$12</f>
        <v>693.20096189432331</v>
      </c>
      <c r="G9" s="4">
        <f t="shared" si="1"/>
        <v>-88.299038105676658</v>
      </c>
      <c r="H9" s="4">
        <f>$H$12</f>
        <v>635</v>
      </c>
      <c r="I9" s="4">
        <f>$I$12</f>
        <v>-51.9</v>
      </c>
      <c r="J9" s="4">
        <f>$J$12</f>
        <v>45</v>
      </c>
      <c r="K9" s="4">
        <f t="shared" si="2"/>
        <v>1567.4393398282202</v>
      </c>
      <c r="L9" s="4">
        <f t="shared" si="3"/>
        <v>-14.760660171779824</v>
      </c>
      <c r="M9" s="4">
        <f>$M$12</f>
        <v>60</v>
      </c>
      <c r="N9" s="4">
        <f t="shared" si="4"/>
        <v>234.70096189432334</v>
      </c>
      <c r="O9" s="4">
        <f t="shared" si="5"/>
        <v>-89.299038105676658</v>
      </c>
      <c r="P9" s="4">
        <f>(B9-$B$12)/2</f>
        <v>-1.5</v>
      </c>
    </row>
    <row r="10" spans="1:16" x14ac:dyDescent="0.2">
      <c r="A10" t="str">
        <f t="shared" si="0"/>
        <v>63/37 18x18</v>
      </c>
      <c r="B10">
        <f t="shared" si="6"/>
        <v>18</v>
      </c>
      <c r="C10" s="4">
        <f>$C$12</f>
        <v>46.5</v>
      </c>
      <c r="D10" s="4">
        <f>$D$12</f>
        <v>-54</v>
      </c>
      <c r="E10" s="4">
        <f>$E$12</f>
        <v>60</v>
      </c>
      <c r="F10" s="4">
        <f>P10*SIN(RADIANS(E10))+$F$12</f>
        <v>693.63397459621558</v>
      </c>
      <c r="G10" s="4">
        <f t="shared" si="1"/>
        <v>-87.866025403784434</v>
      </c>
      <c r="H10" s="4">
        <f>$H$12</f>
        <v>635</v>
      </c>
      <c r="I10" s="4">
        <f>$I$12</f>
        <v>-51.9</v>
      </c>
      <c r="J10" s="4">
        <f>$J$12</f>
        <v>45</v>
      </c>
      <c r="K10" s="4">
        <f t="shared" si="2"/>
        <v>1567.7928932188136</v>
      </c>
      <c r="L10" s="4">
        <f t="shared" si="3"/>
        <v>-14.407106781186551</v>
      </c>
      <c r="M10" s="4">
        <f>$M$12</f>
        <v>60</v>
      </c>
      <c r="N10" s="4">
        <f t="shared" si="4"/>
        <v>235.13397459621555</v>
      </c>
      <c r="O10" s="4">
        <f t="shared" si="5"/>
        <v>-88.866025403784434</v>
      </c>
      <c r="P10" s="4">
        <f>(B10-$B$12)/2</f>
        <v>-1</v>
      </c>
    </row>
    <row r="11" spans="1:16" x14ac:dyDescent="0.2">
      <c r="A11" t="str">
        <f t="shared" si="0"/>
        <v>63/37 19x19</v>
      </c>
      <c r="B11">
        <f t="shared" si="6"/>
        <v>19</v>
      </c>
      <c r="C11" s="4">
        <f>$C$12</f>
        <v>46.5</v>
      </c>
      <c r="D11" s="4">
        <f>$D$12</f>
        <v>-54</v>
      </c>
      <c r="E11" s="4">
        <f>$E$12</f>
        <v>60</v>
      </c>
      <c r="F11" s="4">
        <f>P11*SIN(RADIANS(E11))+$F$12</f>
        <v>694.06698729810773</v>
      </c>
      <c r="G11" s="4">
        <f t="shared" si="1"/>
        <v>-87.433012701892224</v>
      </c>
      <c r="H11" s="4">
        <f>$H$12</f>
        <v>635</v>
      </c>
      <c r="I11" s="4">
        <f>$I$12</f>
        <v>-51.9</v>
      </c>
      <c r="J11" s="4">
        <f>$J$12</f>
        <v>45</v>
      </c>
      <c r="K11" s="4">
        <f t="shared" si="2"/>
        <v>1568.1464466094067</v>
      </c>
      <c r="L11" s="4">
        <f t="shared" si="3"/>
        <v>-14.053553390593276</v>
      </c>
      <c r="M11" s="4">
        <f>$M$12</f>
        <v>60</v>
      </c>
      <c r="N11" s="4">
        <f t="shared" si="4"/>
        <v>235.56698729810779</v>
      </c>
      <c r="O11" s="4">
        <f t="shared" si="5"/>
        <v>-88.433012701892224</v>
      </c>
      <c r="P11" s="4">
        <f>(B11-$B$12)/2</f>
        <v>-0.5</v>
      </c>
    </row>
    <row r="12" spans="1:16" x14ac:dyDescent="0.2">
      <c r="A12" s="1" t="str">
        <f>CONCATENATE("63/37 ",B12,"x",B12)</f>
        <v>63/37 20x20</v>
      </c>
      <c r="B12" s="1">
        <v>20</v>
      </c>
      <c r="C12" s="5">
        <v>46.5</v>
      </c>
      <c r="D12" s="5">
        <v>-54</v>
      </c>
      <c r="E12" s="5">
        <v>60</v>
      </c>
      <c r="F12" s="5">
        <v>694.5</v>
      </c>
      <c r="G12" s="5">
        <v>-87</v>
      </c>
      <c r="H12" s="5">
        <v>635</v>
      </c>
      <c r="I12" s="5">
        <v>-51.9</v>
      </c>
      <c r="J12" s="5">
        <v>45</v>
      </c>
      <c r="K12" s="5">
        <v>1568.5</v>
      </c>
      <c r="L12" s="5">
        <v>-13.700000000000003</v>
      </c>
      <c r="M12" s="5">
        <v>60</v>
      </c>
      <c r="N12" s="5">
        <v>236</v>
      </c>
      <c r="O12" s="5">
        <v>-88</v>
      </c>
      <c r="P12" s="4">
        <f t="shared" ref="P12" si="7">(B12-$B$12)/2</f>
        <v>0</v>
      </c>
    </row>
    <row r="13" spans="1:16" x14ac:dyDescent="0.2">
      <c r="A13" t="str">
        <f>CONCATENATE("63/37 ",B13,"x",B13)</f>
        <v>63/37 21x21</v>
      </c>
      <c r="B13">
        <f>B12+1</f>
        <v>21</v>
      </c>
      <c r="C13" s="4">
        <f>$C$12</f>
        <v>46.5</v>
      </c>
      <c r="D13" s="4">
        <f>$D$12</f>
        <v>-54</v>
      </c>
      <c r="E13" s="4">
        <f>$E$12</f>
        <v>60</v>
      </c>
      <c r="F13" s="4">
        <f>P13*SIN(RADIANS(E13))+$F$12</f>
        <v>694.93301270189227</v>
      </c>
      <c r="G13" s="4">
        <f t="shared" ref="G13:G22" si="8">P13*SIN(RADIANS(E13))+$G$12</f>
        <v>-86.566987298107776</v>
      </c>
      <c r="H13" s="4">
        <f>$H$12</f>
        <v>635</v>
      </c>
      <c r="I13" s="4">
        <f>$I$12</f>
        <v>-51.9</v>
      </c>
      <c r="J13" s="4">
        <f>$J$12</f>
        <v>45</v>
      </c>
      <c r="K13" s="4">
        <f t="shared" si="2"/>
        <v>1568.8535533905933</v>
      </c>
      <c r="L13" s="4">
        <f t="shared" ref="L13:L22" si="9">P13*SIN(RADIANS(J13))+$L$12</f>
        <v>-13.34644660940673</v>
      </c>
      <c r="M13" s="4">
        <f>$M$12</f>
        <v>60</v>
      </c>
      <c r="N13" s="4">
        <f t="shared" ref="N13:N22" si="10">P13*SIN(RADIANS(M13))+$N$12</f>
        <v>236.43301270189221</v>
      </c>
      <c r="O13" s="4">
        <f t="shared" ref="O13:O22" si="11">P13*SIN(RADIANS(M13))+$O$12</f>
        <v>-87.566987298107776</v>
      </c>
      <c r="P13" s="4">
        <f>(B13-$B$12)/2</f>
        <v>0.5</v>
      </c>
    </row>
    <row r="14" spans="1:16" x14ac:dyDescent="0.2">
      <c r="A14" t="str">
        <f>CONCATENATE("63/37 ",B14,"x",B14)</f>
        <v>63/37 22x22</v>
      </c>
      <c r="B14">
        <f>B13+1</f>
        <v>22</v>
      </c>
      <c r="C14" s="4">
        <f>$C$12</f>
        <v>46.5</v>
      </c>
      <c r="D14" s="4">
        <f>$D$12</f>
        <v>-54</v>
      </c>
      <c r="E14" s="4">
        <f>$E$12</f>
        <v>60</v>
      </c>
      <c r="F14" s="4">
        <f>P14*SIN(RADIANS(E14))+$F$12</f>
        <v>695.36602540378442</v>
      </c>
      <c r="G14" s="4">
        <f t="shared" si="8"/>
        <v>-86.133974596215566</v>
      </c>
      <c r="H14" s="4">
        <f>$H$12</f>
        <v>635</v>
      </c>
      <c r="I14" s="4">
        <f>$I$12</f>
        <v>-51.9</v>
      </c>
      <c r="J14" s="4">
        <f>$J$12</f>
        <v>45</v>
      </c>
      <c r="K14" s="4">
        <f t="shared" si="2"/>
        <v>1569.2071067811864</v>
      </c>
      <c r="L14" s="4">
        <f t="shared" si="9"/>
        <v>-12.992893218813455</v>
      </c>
      <c r="M14" s="4">
        <f>$M$12</f>
        <v>60</v>
      </c>
      <c r="N14" s="4">
        <f t="shared" si="10"/>
        <v>236.86602540378445</v>
      </c>
      <c r="O14" s="4">
        <f t="shared" si="11"/>
        <v>-87.133974596215566</v>
      </c>
      <c r="P14" s="4">
        <f>(B14-$B$12)/2</f>
        <v>1</v>
      </c>
    </row>
    <row r="15" spans="1:16" x14ac:dyDescent="0.2">
      <c r="A15" t="str">
        <f>CONCATENATE("63/37 ",B15,"x",B15)</f>
        <v>63/37 23x23</v>
      </c>
      <c r="B15">
        <f>B14+1</f>
        <v>23</v>
      </c>
      <c r="C15" s="4">
        <f>$C$12</f>
        <v>46.5</v>
      </c>
      <c r="D15" s="4">
        <f>$D$12</f>
        <v>-54</v>
      </c>
      <c r="E15" s="4">
        <f>$E$12</f>
        <v>60</v>
      </c>
      <c r="F15" s="4">
        <f>P15*SIN(RADIANS(E15))+$F$12</f>
        <v>695.79903810567669</v>
      </c>
      <c r="G15" s="4">
        <f t="shared" si="8"/>
        <v>-85.700961894323342</v>
      </c>
      <c r="H15" s="4">
        <f>$H$12</f>
        <v>635</v>
      </c>
      <c r="I15" s="4">
        <f>$I$12</f>
        <v>-51.9</v>
      </c>
      <c r="J15" s="4">
        <f>$J$12</f>
        <v>45</v>
      </c>
      <c r="K15" s="4">
        <f t="shared" si="2"/>
        <v>1569.5606601717798</v>
      </c>
      <c r="L15" s="4">
        <f t="shared" si="9"/>
        <v>-12.639339828220182</v>
      </c>
      <c r="M15" s="4">
        <f>$M$12</f>
        <v>60</v>
      </c>
      <c r="N15" s="4">
        <f t="shared" si="10"/>
        <v>237.29903810567666</v>
      </c>
      <c r="O15" s="4">
        <f t="shared" si="11"/>
        <v>-86.700961894323342</v>
      </c>
      <c r="P15" s="4">
        <f>(B15-$B$12)/2</f>
        <v>1.5</v>
      </c>
    </row>
    <row r="16" spans="1:16" x14ac:dyDescent="0.2">
      <c r="A16" t="str">
        <f>CONCATENATE("63/37 ",B16,"x",B16)</f>
        <v>63/37 24x24</v>
      </c>
      <c r="B16">
        <f>B15+1</f>
        <v>24</v>
      </c>
      <c r="C16" s="4">
        <f>$C$12</f>
        <v>46.5</v>
      </c>
      <c r="D16" s="4">
        <f>$D$12</f>
        <v>-54</v>
      </c>
      <c r="E16" s="4">
        <f>$E$12</f>
        <v>60</v>
      </c>
      <c r="F16" s="4">
        <f>P16*SIN(RADIANS(E16))+$F$12</f>
        <v>696.23205080756884</v>
      </c>
      <c r="G16" s="4">
        <f t="shared" si="8"/>
        <v>-85.267949192431118</v>
      </c>
      <c r="H16" s="4">
        <f>$H$12</f>
        <v>635</v>
      </c>
      <c r="I16" s="4">
        <f>$I$12</f>
        <v>-51.9</v>
      </c>
      <c r="J16" s="4">
        <f>$J$12</f>
        <v>45</v>
      </c>
      <c r="K16" s="4">
        <f t="shared" si="2"/>
        <v>1569.9142135623731</v>
      </c>
      <c r="L16" s="4">
        <f t="shared" si="9"/>
        <v>-12.285786437626907</v>
      </c>
      <c r="M16" s="4">
        <f>$M$12</f>
        <v>60</v>
      </c>
      <c r="N16" s="4">
        <f t="shared" si="10"/>
        <v>237.73205080756887</v>
      </c>
      <c r="O16" s="4">
        <f t="shared" si="11"/>
        <v>-86.267949192431118</v>
      </c>
      <c r="P16" s="4">
        <f>(B16-$B$12)/2</f>
        <v>2</v>
      </c>
    </row>
    <row r="17" spans="1:16" x14ac:dyDescent="0.2">
      <c r="A17" t="str">
        <f>CONCATENATE("63/37 ",B17,"x",B17)</f>
        <v>63/37 25x25</v>
      </c>
      <c r="B17">
        <f t="shared" ref="B17:B22" si="12">B16+1</f>
        <v>25</v>
      </c>
      <c r="C17" s="4">
        <f>$C$12</f>
        <v>46.5</v>
      </c>
      <c r="D17" s="4">
        <f>$D$12</f>
        <v>-54</v>
      </c>
      <c r="E17" s="4">
        <f>$E$12</f>
        <v>60</v>
      </c>
      <c r="F17" s="4">
        <f>P17*SIN(RADIANS(E17))+$F$12</f>
        <v>696.66506350946111</v>
      </c>
      <c r="G17" s="4">
        <f t="shared" si="8"/>
        <v>-84.834936490538908</v>
      </c>
      <c r="H17" s="4">
        <f>$H$12</f>
        <v>635</v>
      </c>
      <c r="I17" s="4">
        <f>$I$12</f>
        <v>-51.9</v>
      </c>
      <c r="J17" s="4">
        <f>$J$12</f>
        <v>45</v>
      </c>
      <c r="K17" s="4">
        <f t="shared" si="2"/>
        <v>1570.2677669529664</v>
      </c>
      <c r="L17" s="4">
        <f t="shared" si="9"/>
        <v>-11.932233047033634</v>
      </c>
      <c r="M17" s="4">
        <f>$M$12</f>
        <v>60</v>
      </c>
      <c r="N17" s="4">
        <f t="shared" si="10"/>
        <v>238.16506350946111</v>
      </c>
      <c r="O17" s="4">
        <f t="shared" si="11"/>
        <v>-85.834936490538908</v>
      </c>
      <c r="P17" s="4">
        <f>(B17-$B$12)/2</f>
        <v>2.5</v>
      </c>
    </row>
    <row r="18" spans="1:16" x14ac:dyDescent="0.2">
      <c r="A18" t="str">
        <f>CONCATENATE("63/37 ",B18,"x",B18)</f>
        <v>63/37 26x26</v>
      </c>
      <c r="B18">
        <f t="shared" si="12"/>
        <v>26</v>
      </c>
      <c r="C18" s="4">
        <f>$C$12</f>
        <v>46.5</v>
      </c>
      <c r="D18" s="4">
        <f>$D$12</f>
        <v>-54</v>
      </c>
      <c r="E18" s="4">
        <f>$E$12</f>
        <v>60</v>
      </c>
      <c r="F18" s="4">
        <f>P18*SIN(RADIANS(E18))+$F$12</f>
        <v>697.09807621135337</v>
      </c>
      <c r="G18" s="4">
        <f t="shared" si="8"/>
        <v>-84.401923788646684</v>
      </c>
      <c r="H18" s="4">
        <f>$H$12</f>
        <v>635</v>
      </c>
      <c r="I18" s="4">
        <f>$I$12</f>
        <v>-51.9</v>
      </c>
      <c r="J18" s="4">
        <f>$J$12</f>
        <v>45</v>
      </c>
      <c r="K18" s="4">
        <f t="shared" si="2"/>
        <v>1570.6213203435595</v>
      </c>
      <c r="L18" s="4">
        <f t="shared" si="9"/>
        <v>-11.578679656440361</v>
      </c>
      <c r="M18" s="4">
        <f>$M$12</f>
        <v>60</v>
      </c>
      <c r="N18" s="4">
        <f t="shared" si="10"/>
        <v>238.59807621135332</v>
      </c>
      <c r="O18" s="4">
        <f t="shared" si="11"/>
        <v>-85.401923788646684</v>
      </c>
      <c r="P18" s="4">
        <f>(B18-$B$12)/2</f>
        <v>3</v>
      </c>
    </row>
    <row r="19" spans="1:16" x14ac:dyDescent="0.2">
      <c r="A19" t="str">
        <f>CONCATENATE("63/37 ",B19,"x",B19)</f>
        <v>63/37 27x27</v>
      </c>
      <c r="B19">
        <f t="shared" si="12"/>
        <v>27</v>
      </c>
      <c r="C19" s="4">
        <f>$C$12</f>
        <v>46.5</v>
      </c>
      <c r="D19" s="4">
        <f>$D$12</f>
        <v>-54</v>
      </c>
      <c r="E19" s="4">
        <f>$E$12</f>
        <v>60</v>
      </c>
      <c r="F19" s="4">
        <f>P19*SIN(RADIANS(E19))+$F$12</f>
        <v>697.53108891324553</v>
      </c>
      <c r="G19" s="4">
        <f t="shared" si="8"/>
        <v>-83.96891108675446</v>
      </c>
      <c r="H19" s="4">
        <f>$H$12</f>
        <v>635</v>
      </c>
      <c r="I19" s="4">
        <f>$I$12</f>
        <v>-51.9</v>
      </c>
      <c r="J19" s="4">
        <f>$J$12</f>
        <v>45</v>
      </c>
      <c r="K19" s="4">
        <f t="shared" si="2"/>
        <v>1570.9748737341529</v>
      </c>
      <c r="L19" s="4">
        <f t="shared" si="9"/>
        <v>-11.225126265847088</v>
      </c>
      <c r="M19" s="4">
        <f>$M$12</f>
        <v>60</v>
      </c>
      <c r="N19" s="4">
        <f t="shared" si="10"/>
        <v>239.03108891324553</v>
      </c>
      <c r="O19" s="4">
        <f t="shared" si="11"/>
        <v>-84.96891108675446</v>
      </c>
      <c r="P19" s="4">
        <f>(B19-$B$12)/2</f>
        <v>3.5</v>
      </c>
    </row>
    <row r="20" spans="1:16" x14ac:dyDescent="0.2">
      <c r="A20" t="str">
        <f>CONCATENATE("63/37 ",B20,"x",B20)</f>
        <v>63/37 28x28</v>
      </c>
      <c r="B20">
        <f t="shared" si="12"/>
        <v>28</v>
      </c>
      <c r="C20" s="4">
        <f>$C$12</f>
        <v>46.5</v>
      </c>
      <c r="D20" s="4">
        <f>$D$12</f>
        <v>-54</v>
      </c>
      <c r="E20" s="4">
        <f>$E$12</f>
        <v>60</v>
      </c>
      <c r="F20" s="4">
        <f>P20*SIN(RADIANS(E20))+$F$12</f>
        <v>697.96410161513779</v>
      </c>
      <c r="G20" s="4">
        <f t="shared" si="8"/>
        <v>-83.53589838486225</v>
      </c>
      <c r="H20" s="4">
        <f>$H$12</f>
        <v>635</v>
      </c>
      <c r="I20" s="4">
        <f>$I$12</f>
        <v>-51.9</v>
      </c>
      <c r="J20" s="4">
        <f>$J$12</f>
        <v>45</v>
      </c>
      <c r="K20" s="4">
        <f t="shared" si="2"/>
        <v>1571.3284271247462</v>
      </c>
      <c r="L20" s="4">
        <f t="shared" si="9"/>
        <v>-10.871572875253813</v>
      </c>
      <c r="M20" s="4">
        <f>$M$12</f>
        <v>60</v>
      </c>
      <c r="N20" s="4">
        <f t="shared" si="10"/>
        <v>239.46410161513776</v>
      </c>
      <c r="O20" s="4">
        <f t="shared" si="11"/>
        <v>-84.53589838486225</v>
      </c>
      <c r="P20" s="4">
        <f>(B20-$B$12)/2</f>
        <v>4</v>
      </c>
    </row>
    <row r="21" spans="1:16" x14ac:dyDescent="0.2">
      <c r="A21" t="str">
        <f>CONCATENATE("63/37 ",B21,"x",B21)</f>
        <v>63/37 29x29</v>
      </c>
      <c r="B21">
        <f t="shared" si="12"/>
        <v>29</v>
      </c>
      <c r="C21" s="4">
        <f>$C$12</f>
        <v>46.5</v>
      </c>
      <c r="D21" s="4">
        <f>$D$12</f>
        <v>-54</v>
      </c>
      <c r="E21" s="4">
        <f>$E$12</f>
        <v>60</v>
      </c>
      <c r="F21" s="4">
        <f>P21*SIN(RADIANS(E21))+$F$12</f>
        <v>698.39711431702995</v>
      </c>
      <c r="G21" s="4">
        <f t="shared" si="8"/>
        <v>-83.102885682970026</v>
      </c>
      <c r="H21" s="4">
        <f>$H$12</f>
        <v>635</v>
      </c>
      <c r="I21" s="4">
        <f>$I$12</f>
        <v>-51.9</v>
      </c>
      <c r="J21" s="4">
        <f>$J$12</f>
        <v>45</v>
      </c>
      <c r="K21" s="4">
        <f t="shared" si="2"/>
        <v>1571.6819805153395</v>
      </c>
      <c r="L21" s="4">
        <f t="shared" si="9"/>
        <v>-10.518019484660538</v>
      </c>
      <c r="M21" s="4">
        <f>$M$12</f>
        <v>60</v>
      </c>
      <c r="N21" s="4">
        <f t="shared" si="10"/>
        <v>239.89711431702997</v>
      </c>
      <c r="O21" s="4">
        <f t="shared" si="11"/>
        <v>-84.102885682970026</v>
      </c>
      <c r="P21" s="4">
        <f>(B21-$B$12)/2</f>
        <v>4.5</v>
      </c>
    </row>
    <row r="22" spans="1:16" x14ac:dyDescent="0.2">
      <c r="A22" t="str">
        <f>CONCATENATE("63/37 ",B22,"x",B22)</f>
        <v>63/37 30x30</v>
      </c>
      <c r="B22">
        <f t="shared" si="12"/>
        <v>30</v>
      </c>
      <c r="C22" s="4">
        <f>$C$12</f>
        <v>46.5</v>
      </c>
      <c r="D22" s="4">
        <f>$D$12</f>
        <v>-54</v>
      </c>
      <c r="E22" s="4">
        <f>$E$12</f>
        <v>60</v>
      </c>
      <c r="F22" s="4">
        <f>P22*SIN(RADIANS(E22))+$F$12</f>
        <v>698.83012701892221</v>
      </c>
      <c r="G22" s="4">
        <f t="shared" si="8"/>
        <v>-82.669872981077802</v>
      </c>
      <c r="H22" s="4">
        <f>$H$12</f>
        <v>635</v>
      </c>
      <c r="I22" s="4">
        <f>$I$12</f>
        <v>-51.9</v>
      </c>
      <c r="J22" s="4">
        <f>$J$12</f>
        <v>45</v>
      </c>
      <c r="K22" s="4">
        <f t="shared" si="2"/>
        <v>1572.0355339059327</v>
      </c>
      <c r="L22" s="4">
        <f t="shared" si="9"/>
        <v>-10.164466094067265</v>
      </c>
      <c r="M22" s="4">
        <f>$M$12</f>
        <v>60</v>
      </c>
      <c r="N22" s="4">
        <f t="shared" si="10"/>
        <v>240.33012701892218</v>
      </c>
      <c r="O22" s="4">
        <f t="shared" si="11"/>
        <v>-83.669872981077802</v>
      </c>
      <c r="P22" s="4">
        <f>(B22-$B$12)/2</f>
        <v>5</v>
      </c>
    </row>
    <row r="23" spans="1:16" x14ac:dyDescent="0.2">
      <c r="G23" s="4"/>
      <c r="K23" s="4"/>
      <c r="L23" s="4"/>
      <c r="N23" s="4"/>
      <c r="O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SAC305 Calculator</vt:lpstr>
      <vt:lpstr>63_37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Microsoft Office User</cp:lastModifiedBy>
  <dcterms:created xsi:type="dcterms:W3CDTF">2019-01-03T13:42:24Z</dcterms:created>
  <dcterms:modified xsi:type="dcterms:W3CDTF">2019-01-07T00:29:57Z</dcterms:modified>
</cp:coreProperties>
</file>